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四辺固定スラブ" sheetId="1" r:id="rId1"/>
    <sheet name="片持ちスラブ" sheetId="2" r:id="rId2"/>
  </sheets>
  <definedNames>
    <definedName name="dtx" localSheetId="1">'片持ちスラブ'!$O$9</definedName>
    <definedName name="dtx">'四辺固定スラブ'!$O$9</definedName>
    <definedName name="dty" localSheetId="1">'片持ちスラブ'!$O$11</definedName>
    <definedName name="dty">'四辺固定スラブ'!$O$10</definedName>
    <definedName name="Jx" localSheetId="1">'片持ちスラブ'!$O$19</definedName>
    <definedName name="Jx">'四辺固定スラブ'!$S$26</definedName>
    <definedName name="Jy" localSheetId="1">'片持ちスラブ'!$S$29</definedName>
    <definedName name="Jy">'四辺固定スラブ'!$S$27</definedName>
    <definedName name="Lx" localSheetId="1">'片持ちスラブ'!$O$3</definedName>
    <definedName name="Lx">'四辺固定スラブ'!$O$3</definedName>
    <definedName name="Ly" localSheetId="1">'片持ちスラブ'!$O$4</definedName>
    <definedName name="Ly">'四辺固定スラブ'!$O$4</definedName>
    <definedName name="Mx1" localSheetId="1">'片持ちスラブ'!$T$15</definedName>
    <definedName name="Mx1">'四辺固定スラブ'!$V$17</definedName>
    <definedName name="Mx2" localSheetId="1">'片持ちスラブ'!#REF!</definedName>
    <definedName name="Mx2">'四辺固定スラブ'!$V$19</definedName>
    <definedName name="My1" localSheetId="1">'片持ちスラブ'!#REF!</definedName>
    <definedName name="My1">'四辺固定スラブ'!$V$21</definedName>
    <definedName name="My2" localSheetId="1">'片持ちスラブ'!#REF!</definedName>
    <definedName name="My2">'四辺固定スラブ'!$V$23</definedName>
    <definedName name="P">'片持ちスラブ'!$O$6</definedName>
    <definedName name="_xlnm.Print_Area" localSheetId="0">'四辺固定スラブ'!$A$1:$AD$51</definedName>
    <definedName name="_xlnm.Print_Area" localSheetId="1">'片持ちスラブ'!$A$1:$AD$51</definedName>
    <definedName name="Q" localSheetId="1">'片持ちスラブ'!$T$16</definedName>
    <definedName name="Q">'四辺固定スラブ'!$S$38</definedName>
    <definedName name="t" localSheetId="1">'片持ちスラブ'!$O$8</definedName>
    <definedName name="t">'四辺固定スラブ'!$O$8</definedName>
    <definedName name="W" localSheetId="1">'片持ちスラブ'!$O$5</definedName>
    <definedName name="W">'四辺固定スラブ'!$O$6</definedName>
    <definedName name="Wp" localSheetId="1">'片持ちスラブ'!$R$45</definedName>
    <definedName name="Wp">'四辺固定スラブ'!$R$43</definedName>
    <definedName name="Wx" localSheetId="1">'片持ちスラブ'!$E$17</definedName>
    <definedName name="Wx">'四辺固定スラブ'!$E$15</definedName>
    <definedName name="α">'片持ちスラブ'!$Q$11</definedName>
    <definedName name="λ" localSheetId="1">'片持ちスラブ'!$R$44</definedName>
    <definedName name="λ">'四辺固定スラブ'!$R$42</definedName>
  </definedNames>
  <calcPr fullCalcOnLoad="1"/>
</workbook>
</file>

<file path=xl/sharedStrings.xml><?xml version="1.0" encoding="utf-8"?>
<sst xmlns="http://schemas.openxmlformats.org/spreadsheetml/2006/main" count="257" uniqueCount="123">
  <si>
    <t>【ＲＣスラブの設計（四辺固定】</t>
  </si>
  <si>
    <t>Lx</t>
  </si>
  <si>
    <t>Ly</t>
  </si>
  <si>
    <t>W</t>
  </si>
  <si>
    <t>W(kN/㎡)</t>
  </si>
  <si>
    <t>=</t>
  </si>
  <si>
    <t>m</t>
  </si>
  <si>
    <t>：スラブ短辺長さ</t>
  </si>
  <si>
    <t>：スラブ長辺長さ</t>
  </si>
  <si>
    <t>kN/㎡</t>
  </si>
  <si>
    <t>Wx</t>
  </si>
  <si>
    <t>①応力計算</t>
  </si>
  <si>
    <r>
      <t>Ly</t>
    </r>
    <r>
      <rPr>
        <vertAlign val="superscript"/>
        <sz val="10"/>
        <rFont val="ＭＳ ゴシック"/>
        <family val="3"/>
      </rPr>
      <t>4</t>
    </r>
    <r>
      <rPr>
        <sz val="10"/>
        <rFont val="ＭＳ ゴシック"/>
        <family val="3"/>
      </rPr>
      <t xml:space="preserve"> / ( Lx</t>
    </r>
    <r>
      <rPr>
        <vertAlign val="superscript"/>
        <sz val="10"/>
        <rFont val="ＭＳ ゴシック"/>
        <family val="3"/>
      </rPr>
      <t>4</t>
    </r>
    <r>
      <rPr>
        <sz val="10"/>
        <rFont val="ＭＳ ゴシック"/>
        <family val="3"/>
      </rPr>
      <t xml:space="preserve"> + Ly</t>
    </r>
    <r>
      <rPr>
        <vertAlign val="superscript"/>
        <sz val="10"/>
        <rFont val="ＭＳ ゴシック"/>
        <family val="3"/>
      </rPr>
      <t>4</t>
    </r>
    <r>
      <rPr>
        <sz val="10"/>
        <rFont val="ＭＳ ゴシック"/>
        <family val="3"/>
      </rPr>
      <t xml:space="preserve"> ) × W</t>
    </r>
  </si>
  <si>
    <t>t</t>
  </si>
  <si>
    <t>cm</t>
  </si>
  <si>
    <t>：荷重</t>
  </si>
  <si>
    <t>：スラブ厚</t>
  </si>
  <si>
    <t>・短辺方向端部</t>
  </si>
  <si>
    <t>Mx1</t>
  </si>
  <si>
    <r>
      <t>1/12×Wx×Lx</t>
    </r>
    <r>
      <rPr>
        <vertAlign val="superscript"/>
        <sz val="10"/>
        <rFont val="ＭＳ ゴシック"/>
        <family val="3"/>
      </rPr>
      <t>2</t>
    </r>
  </si>
  <si>
    <t>kN/m</t>
  </si>
  <si>
    <t>・短辺方向中央</t>
  </si>
  <si>
    <t>Mx2</t>
  </si>
  <si>
    <r>
      <t>1/18×Wx×Lx</t>
    </r>
    <r>
      <rPr>
        <vertAlign val="superscript"/>
        <sz val="10"/>
        <rFont val="ＭＳ ゴシック"/>
        <family val="3"/>
      </rPr>
      <t>2</t>
    </r>
  </si>
  <si>
    <t>・長辺方向端部</t>
  </si>
  <si>
    <t>My1</t>
  </si>
  <si>
    <r>
      <t>1/24×Wx×Lx</t>
    </r>
    <r>
      <rPr>
        <vertAlign val="superscript"/>
        <sz val="10"/>
        <rFont val="ＭＳ ゴシック"/>
        <family val="3"/>
      </rPr>
      <t>2</t>
    </r>
  </si>
  <si>
    <t>・長辺方向中央</t>
  </si>
  <si>
    <r>
      <t>1/36×Wx×Lx</t>
    </r>
    <r>
      <rPr>
        <vertAlign val="superscript"/>
        <sz val="10"/>
        <rFont val="ＭＳ ゴシック"/>
        <family val="3"/>
      </rPr>
      <t>2</t>
    </r>
  </si>
  <si>
    <t>dtx</t>
  </si>
  <si>
    <t>dty</t>
  </si>
  <si>
    <t>短辺方向</t>
  </si>
  <si>
    <t>jx</t>
  </si>
  <si>
    <t>長辺方向</t>
  </si>
  <si>
    <t>jy</t>
  </si>
  <si>
    <t>②曲げ応力に対する断面検定</t>
  </si>
  <si>
    <t>at</t>
  </si>
  <si>
    <r>
      <t>cm</t>
    </r>
    <r>
      <rPr>
        <vertAlign val="superscript"/>
        <sz val="10"/>
        <rFont val="ＭＳ ゴシック"/>
        <family val="3"/>
      </rPr>
      <t>2</t>
    </r>
  </si>
  <si>
    <t>⇒</t>
  </si>
  <si>
    <t>(</t>
  </si>
  <si>
    <t>)</t>
  </si>
  <si>
    <t>D10＠</t>
  </si>
  <si>
    <t>D10＠</t>
  </si>
  <si>
    <t>D10 D13＠</t>
  </si>
  <si>
    <t>D10 D13＠</t>
  </si>
  <si>
    <t>D13＠</t>
  </si>
  <si>
    <t>D16＠</t>
  </si>
  <si>
    <t>配筋</t>
  </si>
  <si>
    <t>断面積</t>
  </si>
  <si>
    <t>検定比</t>
  </si>
  <si>
    <t>③せん断応力に対する断面検定</t>
  </si>
  <si>
    <t>Q</t>
  </si>
  <si>
    <t>kN</t>
  </si>
  <si>
    <t>τ</t>
  </si>
  <si>
    <r>
      <t>kN/cm</t>
    </r>
    <r>
      <rPr>
        <vertAlign val="superscript"/>
        <sz val="10"/>
        <rFont val="ＭＳ ゴシック"/>
        <family val="3"/>
      </rPr>
      <t>2</t>
    </r>
  </si>
  <si>
    <t>&lt;</t>
  </si>
  <si>
    <t>：短辺方向dt</t>
  </si>
  <si>
    <t>：長辺方向dt</t>
  </si>
  <si>
    <t>Fc</t>
  </si>
  <si>
    <r>
      <t>N/mm</t>
    </r>
    <r>
      <rPr>
        <vertAlign val="superscript"/>
        <sz val="10"/>
        <rFont val="ＭＳ ゴシック"/>
        <family val="3"/>
      </rPr>
      <t>2</t>
    </r>
  </si>
  <si>
    <t>：コンクリート強度</t>
  </si>
  <si>
    <t>λ</t>
  </si>
  <si>
    <t>=</t>
  </si>
  <si>
    <t>Wp</t>
  </si>
  <si>
    <t>t'</t>
  </si>
  <si>
    <t>④必要スラブ厚t'の検討</t>
  </si>
  <si>
    <t>cm</t>
  </si>
  <si>
    <t>cm</t>
  </si>
  <si>
    <t>≪使用方法≫</t>
  </si>
  <si>
    <t>で表示されている部分を入力して下さい。また、使用にあたっては計算に間違いないか</t>
  </si>
  <si>
    <t>確認をして使用して下さい。</t>
  </si>
  <si>
    <t>　※入力セルは、カーソル（←↑→）で選択して下さい。マウスでは選択できません。入力箇所</t>
  </si>
  <si>
    <t>　　には半透明の図形を被せてあります。保護を解除し、図形を削除すればマウスでも選択できます。</t>
  </si>
  <si>
    <t>●配筋リスト</t>
  </si>
  <si>
    <t>【広 告】</t>
  </si>
  <si>
    <t>『建築構造設計べんりねっと』オリジナル構造計算プログラム、電子書籍</t>
  </si>
  <si>
    <t>価格：500円（税込み）</t>
  </si>
  <si>
    <t>Lx</t>
  </si>
  <si>
    <t>=</t>
  </si>
  <si>
    <t>m</t>
  </si>
  <si>
    <t>W</t>
  </si>
  <si>
    <t>=</t>
  </si>
  <si>
    <t>kN/㎡</t>
  </si>
  <si>
    <t>t</t>
  </si>
  <si>
    <t>=</t>
  </si>
  <si>
    <t>cm</t>
  </si>
  <si>
    <t>dtx</t>
  </si>
  <si>
    <t>=</t>
  </si>
  <si>
    <t>cm</t>
  </si>
  <si>
    <t>=</t>
  </si>
  <si>
    <t>cm</t>
  </si>
  <si>
    <t>Fc</t>
  </si>
  <si>
    <t>=</t>
  </si>
  <si>
    <r>
      <t>N/mm</t>
    </r>
    <r>
      <rPr>
        <vertAlign val="superscript"/>
        <sz val="10"/>
        <rFont val="ＭＳ ゴシック"/>
        <family val="3"/>
      </rPr>
      <t>2</t>
    </r>
  </si>
  <si>
    <t>D10＠</t>
  </si>
  <si>
    <t>D10 D13＠</t>
  </si>
  <si>
    <t>D13＠</t>
  </si>
  <si>
    <t>D16＠</t>
  </si>
  <si>
    <t>kN/m</t>
  </si>
  <si>
    <r>
      <t>cm</t>
    </r>
    <r>
      <rPr>
        <vertAlign val="superscript"/>
        <sz val="10"/>
        <rFont val="ＭＳ ゴシック"/>
        <family val="3"/>
      </rPr>
      <t>2</t>
    </r>
  </si>
  <si>
    <t>⇒</t>
  </si>
  <si>
    <t>τ</t>
  </si>
  <si>
    <t>【ＲＣスラブの設計（片持ち版）】</t>
  </si>
  <si>
    <t>P (kN)</t>
  </si>
  <si>
    <t xml:space="preserve"> W(kN/m)</t>
  </si>
  <si>
    <t>L</t>
  </si>
  <si>
    <t>P</t>
  </si>
  <si>
    <t>：等分布荷重</t>
  </si>
  <si>
    <t>：集中荷重</t>
  </si>
  <si>
    <t>：スラブ厚（根元）</t>
  </si>
  <si>
    <t>M</t>
  </si>
  <si>
    <t>応力割増</t>
  </si>
  <si>
    <t>j</t>
  </si>
  <si>
    <t>D13＠</t>
  </si>
  <si>
    <t>価格：500円（税別）</t>
  </si>
  <si>
    <t>価格：1,000円（税別）</t>
  </si>
  <si>
    <t>●</t>
  </si>
  <si>
    <t>構造設計講座（ＲＣマンション編）</t>
  </si>
  <si>
    <t>地盤許容応力度の計算（EXCELシート）</t>
  </si>
  <si>
    <t>価格：300円（税別）</t>
  </si>
  <si>
    <t xml:space="preserve">コンクリートブロック土留めの設計 </t>
  </si>
  <si>
    <t xml:space="preserve">擁壁下のラップ形式柱状地盤改良設計 </t>
  </si>
  <si>
    <t xml:space="preserve">ラップ式柱状改良の断面性能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</si>
</sst>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vertAlign val="superscript"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0"/>
      <color indexed="12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left"/>
    </xf>
    <xf numFmtId="0" fontId="6" fillId="0" borderId="0" xfId="61" applyFont="1" applyFill="1" applyAlignment="1" applyProtection="1" quotePrefix="1">
      <alignment horizontal="left"/>
      <protection locked="0"/>
    </xf>
    <xf numFmtId="0" fontId="2" fillId="0" borderId="0" xfId="6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61" applyFont="1" applyFill="1" applyAlignment="1" applyProtection="1" quotePrefix="1">
      <alignment horizontal="left"/>
      <protection locked="0"/>
    </xf>
    <xf numFmtId="0" fontId="2" fillId="0" borderId="0" xfId="0" applyFont="1" applyFill="1" applyAlignment="1" quotePrefix="1">
      <alignment horizontal="left"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61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61" applyFont="1" applyFill="1" applyBorder="1" applyAlignment="1" applyProtection="1" quotePrefix="1">
      <alignment horizontal="lef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0" xfId="61" applyFont="1" applyFill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31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179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>
      <alignment/>
    </xf>
    <xf numFmtId="0" fontId="2" fillId="0" borderId="0" xfId="0" applyFont="1" applyAlignment="1" quotePrefix="1">
      <alignment shrinkToFit="1"/>
    </xf>
    <xf numFmtId="0" fontId="2" fillId="0" borderId="0" xfId="0" applyFont="1" applyAlignment="1">
      <alignment/>
    </xf>
    <xf numFmtId="17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shrinkToFit="1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43" applyFont="1" applyBorder="1" applyAlignment="1" applyProtection="1">
      <alignment horizontal="left"/>
      <protection/>
    </xf>
    <xf numFmtId="179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 shrinkToFit="1"/>
    </xf>
    <xf numFmtId="177" fontId="2" fillId="0" borderId="0" xfId="0" applyNumberFormat="1" applyFont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quotePrefix="1">
      <alignment horizontal="left" shrinkToFit="1"/>
    </xf>
    <xf numFmtId="178" fontId="2" fillId="0" borderId="0" xfId="0" applyNumberFormat="1" applyFont="1" applyAlignment="1">
      <alignment horizontal="center" shrinkToFit="1"/>
    </xf>
    <xf numFmtId="0" fontId="2" fillId="34" borderId="0" xfId="0" applyFont="1" applyFill="1" applyAlignment="1" applyProtection="1">
      <alignment horizontal="right" shrinkToFit="1"/>
      <protection locked="0"/>
    </xf>
    <xf numFmtId="0" fontId="2" fillId="0" borderId="34" xfId="0" applyFont="1" applyBorder="1" applyAlignment="1">
      <alignment horizontal="center"/>
    </xf>
    <xf numFmtId="0" fontId="2" fillId="34" borderId="0" xfId="0" applyFont="1" applyFill="1" applyAlignment="1" applyProtection="1">
      <alignment horizontal="center"/>
      <protection locked="0"/>
    </xf>
    <xf numFmtId="0" fontId="2" fillId="0" borderId="34" xfId="0" applyFont="1" applyBorder="1" applyAlignment="1" quotePrefix="1">
      <alignment horizontal="center"/>
    </xf>
    <xf numFmtId="0" fontId="2" fillId="0" borderId="0" xfId="0" applyFont="1" applyAlignment="1">
      <alignment horizontal="center" shrinkToFit="1"/>
    </xf>
    <xf numFmtId="178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center"/>
    </xf>
    <xf numFmtId="0" fontId="10" fillId="0" borderId="0" xfId="43" applyFont="1" applyFill="1" applyBorder="1" applyAlignment="1" applyProtection="1">
      <alignment horizontal="left"/>
      <protection/>
    </xf>
    <xf numFmtId="0" fontId="2" fillId="0" borderId="0" xfId="61" applyFont="1" applyFill="1" applyAlignment="1" applyProtection="1">
      <alignment horizontal="center"/>
      <protection locked="0"/>
    </xf>
    <xf numFmtId="0" fontId="10" fillId="0" borderId="0" xfId="43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 quotePrefix="1">
      <alignment horizontal="left" vertical="center"/>
      <protection/>
    </xf>
    <xf numFmtId="0" fontId="2" fillId="0" borderId="0" xfId="61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61" applyFont="1" applyFill="1" applyBorder="1" applyAlignment="1" applyProtection="1">
      <alignment/>
      <protection/>
    </xf>
    <xf numFmtId="0" fontId="2" fillId="0" borderId="0" xfId="6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43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礎計算ツールnew" xfId="61"/>
    <cellStyle name="良い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581150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" y="438150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067050" y="4381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4" name="Rectangle 9"/>
        <xdr:cNvSpPr>
          <a:spLocks/>
        </xdr:cNvSpPr>
      </xdr:nvSpPr>
      <xdr:spPr>
        <a:xfrm>
          <a:off x="3067050" y="6286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Rectangle 9"/>
        <xdr:cNvSpPr>
          <a:spLocks/>
        </xdr:cNvSpPr>
      </xdr:nvSpPr>
      <xdr:spPr>
        <a:xfrm>
          <a:off x="3067050" y="10096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7</xdr:row>
      <xdr:rowOff>0</xdr:rowOff>
    </xdr:from>
    <xdr:to>
      <xdr:col>16</xdr:col>
      <xdr:colOff>0</xdr:colOff>
      <xdr:row>11</xdr:row>
      <xdr:rowOff>0</xdr:rowOff>
    </xdr:to>
    <xdr:sp>
      <xdr:nvSpPr>
        <xdr:cNvPr id="6" name="Rectangle 9"/>
        <xdr:cNvSpPr>
          <a:spLocks/>
        </xdr:cNvSpPr>
      </xdr:nvSpPr>
      <xdr:spPr>
        <a:xfrm>
          <a:off x="3067050" y="1390650"/>
          <a:ext cx="438150" cy="7620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28575</xdr:colOff>
      <xdr:row>4</xdr:row>
      <xdr:rowOff>28575</xdr:rowOff>
    </xdr:from>
    <xdr:to>
      <xdr:col>33</xdr:col>
      <xdr:colOff>171450</xdr:colOff>
      <xdr:row>5</xdr:row>
      <xdr:rowOff>0</xdr:rowOff>
    </xdr:to>
    <xdr:sp>
      <xdr:nvSpPr>
        <xdr:cNvPr id="7" name="Rectangle 380"/>
        <xdr:cNvSpPr>
          <a:spLocks noChangeAspect="1"/>
        </xdr:cNvSpPr>
      </xdr:nvSpPr>
      <xdr:spPr>
        <a:xfrm>
          <a:off x="7038975" y="847725"/>
          <a:ext cx="361950" cy="161925"/>
        </a:xfrm>
        <a:prstGeom prst="rect">
          <a:avLst/>
        </a:prstGeom>
        <a:solidFill>
          <a:srgbClr val="FFFF00">
            <a:alpha val="1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17</xdr:col>
      <xdr:colOff>0</xdr:colOff>
      <xdr:row>3</xdr:row>
      <xdr:rowOff>0</xdr:rowOff>
    </xdr:to>
    <xdr:sp>
      <xdr:nvSpPr>
        <xdr:cNvPr id="1" name="Rectangle 9"/>
        <xdr:cNvSpPr>
          <a:spLocks/>
        </xdr:cNvSpPr>
      </xdr:nvSpPr>
      <xdr:spPr>
        <a:xfrm>
          <a:off x="3067050" y="4381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067050" y="8191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7</xdr:row>
      <xdr:rowOff>0</xdr:rowOff>
    </xdr:from>
    <xdr:to>
      <xdr:col>16</xdr:col>
      <xdr:colOff>0</xdr:colOff>
      <xdr:row>9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067050" y="1390650"/>
          <a:ext cx="438150" cy="3810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28575</xdr:colOff>
      <xdr:row>4</xdr:row>
      <xdr:rowOff>28575</xdr:rowOff>
    </xdr:from>
    <xdr:to>
      <xdr:col>33</xdr:col>
      <xdr:colOff>171450</xdr:colOff>
      <xdr:row>5</xdr:row>
      <xdr:rowOff>0</xdr:rowOff>
    </xdr:to>
    <xdr:sp>
      <xdr:nvSpPr>
        <xdr:cNvPr id="4" name="Rectangle 380"/>
        <xdr:cNvSpPr>
          <a:spLocks noChangeAspect="1"/>
        </xdr:cNvSpPr>
      </xdr:nvSpPr>
      <xdr:spPr>
        <a:xfrm>
          <a:off x="7038975" y="847725"/>
          <a:ext cx="361950" cy="161925"/>
        </a:xfrm>
        <a:prstGeom prst="rect">
          <a:avLst/>
        </a:prstGeom>
        <a:solidFill>
          <a:srgbClr val="FFFF00">
            <a:alpha val="1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104775</xdr:rowOff>
    </xdr:from>
    <xdr:to>
      <xdr:col>4</xdr:col>
      <xdr:colOff>0</xdr:colOff>
      <xdr:row>5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657225" y="923925"/>
          <a:ext cx="219075" cy="85725"/>
          <a:chOff x="275" y="116"/>
          <a:chExt cx="25" cy="10"/>
        </a:xfrm>
        <a:solidFill>
          <a:srgbClr val="FFFFFF"/>
        </a:solidFill>
      </xdr:grpSpPr>
      <xdr:sp>
        <xdr:nvSpPr>
          <xdr:cNvPr id="6" name="Arc 9"/>
          <xdr:cNvSpPr>
            <a:spLocks noChangeAspect="1"/>
          </xdr:cNvSpPr>
        </xdr:nvSpPr>
        <xdr:spPr>
          <a:xfrm>
            <a:off x="288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10"/>
          <xdr:cNvSpPr>
            <a:spLocks noChangeAspect="1"/>
          </xdr:cNvSpPr>
        </xdr:nvSpPr>
        <xdr:spPr>
          <a:xfrm flipH="1">
            <a:off x="275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</xdr:row>
      <xdr:rowOff>104775</xdr:rowOff>
    </xdr:from>
    <xdr:to>
      <xdr:col>5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876300" y="923925"/>
          <a:ext cx="219075" cy="85725"/>
          <a:chOff x="275" y="116"/>
          <a:chExt cx="25" cy="10"/>
        </a:xfrm>
        <a:solidFill>
          <a:srgbClr val="FFFFFF"/>
        </a:solidFill>
      </xdr:grpSpPr>
      <xdr:sp>
        <xdr:nvSpPr>
          <xdr:cNvPr id="9" name="Arc 12"/>
          <xdr:cNvSpPr>
            <a:spLocks noChangeAspect="1"/>
          </xdr:cNvSpPr>
        </xdr:nvSpPr>
        <xdr:spPr>
          <a:xfrm>
            <a:off x="288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rc 13"/>
          <xdr:cNvSpPr>
            <a:spLocks noChangeAspect="1"/>
          </xdr:cNvSpPr>
        </xdr:nvSpPr>
        <xdr:spPr>
          <a:xfrm flipH="1">
            <a:off x="275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</xdr:row>
      <xdr:rowOff>104775</xdr:rowOff>
    </xdr:from>
    <xdr:to>
      <xdr:col>6</xdr:col>
      <xdr:colOff>0</xdr:colOff>
      <xdr:row>5</xdr:row>
      <xdr:rowOff>0</xdr:rowOff>
    </xdr:to>
    <xdr:grpSp>
      <xdr:nvGrpSpPr>
        <xdr:cNvPr id="11" name="Group 14"/>
        <xdr:cNvGrpSpPr>
          <a:grpSpLocks/>
        </xdr:cNvGrpSpPr>
      </xdr:nvGrpSpPr>
      <xdr:grpSpPr>
        <a:xfrm>
          <a:off x="1095375" y="923925"/>
          <a:ext cx="219075" cy="85725"/>
          <a:chOff x="275" y="116"/>
          <a:chExt cx="25" cy="10"/>
        </a:xfrm>
        <a:solidFill>
          <a:srgbClr val="FFFFFF"/>
        </a:solidFill>
      </xdr:grpSpPr>
      <xdr:sp>
        <xdr:nvSpPr>
          <xdr:cNvPr id="12" name="Arc 15"/>
          <xdr:cNvSpPr>
            <a:spLocks noChangeAspect="1"/>
          </xdr:cNvSpPr>
        </xdr:nvSpPr>
        <xdr:spPr>
          <a:xfrm>
            <a:off x="288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6"/>
          <xdr:cNvSpPr>
            <a:spLocks noChangeAspect="1"/>
          </xdr:cNvSpPr>
        </xdr:nvSpPr>
        <xdr:spPr>
          <a:xfrm flipH="1">
            <a:off x="275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104775</xdr:rowOff>
    </xdr:from>
    <xdr:to>
      <xdr:col>7</xdr:col>
      <xdr:colOff>0</xdr:colOff>
      <xdr:row>5</xdr:row>
      <xdr:rowOff>0</xdr:rowOff>
    </xdr:to>
    <xdr:grpSp>
      <xdr:nvGrpSpPr>
        <xdr:cNvPr id="14" name="Group 17"/>
        <xdr:cNvGrpSpPr>
          <a:grpSpLocks/>
        </xdr:cNvGrpSpPr>
      </xdr:nvGrpSpPr>
      <xdr:grpSpPr>
        <a:xfrm>
          <a:off x="1314450" y="923925"/>
          <a:ext cx="219075" cy="85725"/>
          <a:chOff x="275" y="116"/>
          <a:chExt cx="25" cy="10"/>
        </a:xfrm>
        <a:solidFill>
          <a:srgbClr val="FFFFFF"/>
        </a:solidFill>
      </xdr:grpSpPr>
      <xdr:sp>
        <xdr:nvSpPr>
          <xdr:cNvPr id="15" name="Arc 18"/>
          <xdr:cNvSpPr>
            <a:spLocks noChangeAspect="1"/>
          </xdr:cNvSpPr>
        </xdr:nvSpPr>
        <xdr:spPr>
          <a:xfrm>
            <a:off x="288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9"/>
          <xdr:cNvSpPr>
            <a:spLocks noChangeAspect="1"/>
          </xdr:cNvSpPr>
        </xdr:nvSpPr>
        <xdr:spPr>
          <a:xfrm flipH="1">
            <a:off x="275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104775</xdr:rowOff>
    </xdr:from>
    <xdr:to>
      <xdr:col>8</xdr:col>
      <xdr:colOff>0</xdr:colOff>
      <xdr:row>5</xdr:row>
      <xdr:rowOff>0</xdr:rowOff>
    </xdr:to>
    <xdr:grpSp>
      <xdr:nvGrpSpPr>
        <xdr:cNvPr id="17" name="Group 20"/>
        <xdr:cNvGrpSpPr>
          <a:grpSpLocks/>
        </xdr:cNvGrpSpPr>
      </xdr:nvGrpSpPr>
      <xdr:grpSpPr>
        <a:xfrm>
          <a:off x="1533525" y="923925"/>
          <a:ext cx="219075" cy="85725"/>
          <a:chOff x="275" y="116"/>
          <a:chExt cx="25" cy="10"/>
        </a:xfrm>
        <a:solidFill>
          <a:srgbClr val="FFFFFF"/>
        </a:solidFill>
      </xdr:grpSpPr>
      <xdr:sp>
        <xdr:nvSpPr>
          <xdr:cNvPr id="18" name="Arc 21"/>
          <xdr:cNvSpPr>
            <a:spLocks noChangeAspect="1"/>
          </xdr:cNvSpPr>
        </xdr:nvSpPr>
        <xdr:spPr>
          <a:xfrm>
            <a:off x="288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2"/>
          <xdr:cNvSpPr>
            <a:spLocks noChangeAspect="1"/>
          </xdr:cNvSpPr>
        </xdr:nvSpPr>
        <xdr:spPr>
          <a:xfrm flipH="1">
            <a:off x="275" y="116"/>
            <a:ext cx="12" cy="1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657225" y="158115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0</xdr:rowOff>
    </xdr:to>
    <xdr:sp>
      <xdr:nvSpPr>
        <xdr:cNvPr id="21" name="Line 24"/>
        <xdr:cNvSpPr>
          <a:spLocks/>
        </xdr:cNvSpPr>
      </xdr:nvSpPr>
      <xdr:spPr>
        <a:xfrm>
          <a:off x="1752600" y="628650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22" name="Rectangle 9"/>
        <xdr:cNvSpPr>
          <a:spLocks/>
        </xdr:cNvSpPr>
      </xdr:nvSpPr>
      <xdr:spPr>
        <a:xfrm>
          <a:off x="3067050" y="1009650"/>
          <a:ext cx="657225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10</xdr:row>
      <xdr:rowOff>0</xdr:rowOff>
    </xdr:from>
    <xdr:to>
      <xdr:col>18</xdr:col>
      <xdr:colOff>0</xdr:colOff>
      <xdr:row>11</xdr:row>
      <xdr:rowOff>0</xdr:rowOff>
    </xdr:to>
    <xdr:sp>
      <xdr:nvSpPr>
        <xdr:cNvPr id="23" name="Rectangle 9"/>
        <xdr:cNvSpPr>
          <a:spLocks/>
        </xdr:cNvSpPr>
      </xdr:nvSpPr>
      <xdr:spPr>
        <a:xfrm>
          <a:off x="3505200" y="1962150"/>
          <a:ext cx="438150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4" name="Rectangle 9"/>
        <xdr:cNvSpPr>
          <a:spLocks/>
        </xdr:cNvSpPr>
      </xdr:nvSpPr>
      <xdr:spPr>
        <a:xfrm>
          <a:off x="3067050" y="2343150"/>
          <a:ext cx="438150" cy="190500"/>
        </a:xfrm>
        <a:prstGeom prst="rect">
          <a:avLst/>
        </a:prstGeom>
        <a:solidFill>
          <a:srgbClr val="FFFF00">
            <a:alpha val="10000"/>
          </a:srgbClr>
        </a:solidFill>
        <a:ln w="12700" cmpd="sng">
          <a:solidFill>
            <a:srgbClr val="CCC1D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market.jp/products/detail/279343" TargetMode="External" /><Relationship Id="rId2" Type="http://schemas.openxmlformats.org/officeDocument/2006/relationships/hyperlink" Target="http://www.dlmarket.jp/product_info.php/products_id/155431" TargetMode="External" /><Relationship Id="rId3" Type="http://schemas.openxmlformats.org/officeDocument/2006/relationships/hyperlink" Target="https://arc-structure.booth.pm/items/1121029" TargetMode="External" /><Relationship Id="rId4" Type="http://schemas.openxmlformats.org/officeDocument/2006/relationships/hyperlink" Target="https://arc-structure.booth.pm/items/1121036" TargetMode="External" /><Relationship Id="rId5" Type="http://schemas.openxmlformats.org/officeDocument/2006/relationships/hyperlink" Target="https://arc-structure.booth.pm/items/1121046" TargetMode="External" /><Relationship Id="rId6" Type="http://schemas.openxmlformats.org/officeDocument/2006/relationships/hyperlink" Target="https://arc-structure.booth.pm/items/1121046" TargetMode="External" /><Relationship Id="rId7" Type="http://schemas.openxmlformats.org/officeDocument/2006/relationships/hyperlink" Target="https://arc-structure.booth.pm/items/1120978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lmarket.jp/products/detail/279343" TargetMode="External" /><Relationship Id="rId2" Type="http://schemas.openxmlformats.org/officeDocument/2006/relationships/hyperlink" Target="http://www.dlmarket.jp/product_info.php/products_id/155431" TargetMode="External" /><Relationship Id="rId3" Type="http://schemas.openxmlformats.org/officeDocument/2006/relationships/hyperlink" Target="https://arc-structure.booth.pm/items/1121029" TargetMode="External" /><Relationship Id="rId4" Type="http://schemas.openxmlformats.org/officeDocument/2006/relationships/hyperlink" Target="https://arc-structure.booth.pm/items/1121036" TargetMode="External" /><Relationship Id="rId5" Type="http://schemas.openxmlformats.org/officeDocument/2006/relationships/hyperlink" Target="https://arc-structure.booth.pm/items/1121046" TargetMode="External" /><Relationship Id="rId6" Type="http://schemas.openxmlformats.org/officeDocument/2006/relationships/hyperlink" Target="https://arc-structure.booth.pm/items/1121046" TargetMode="External" /><Relationship Id="rId7" Type="http://schemas.openxmlformats.org/officeDocument/2006/relationships/hyperlink" Target="https://arc-structure.booth.pm/items/1120978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65" width="2.875" style="1" customWidth="1"/>
    <col min="66" max="16384" width="9.00390625" style="1" customWidth="1"/>
  </cols>
  <sheetData>
    <row r="1" spans="1:2" s="3" customFormat="1" ht="19.5" customHeight="1">
      <c r="A1" s="2" t="s">
        <v>0</v>
      </c>
      <c r="B1" s="2"/>
    </row>
    <row r="2" ht="15" customHeight="1" thickBot="1"/>
    <row r="3" spans="3:59" ht="15" customHeight="1">
      <c r="C3" s="15"/>
      <c r="E3" s="4"/>
      <c r="F3" s="5"/>
      <c r="G3" s="5"/>
      <c r="H3" s="5"/>
      <c r="I3" s="5"/>
      <c r="J3" s="6"/>
      <c r="M3" s="1" t="s">
        <v>1</v>
      </c>
      <c r="N3" s="17" t="s">
        <v>5</v>
      </c>
      <c r="O3" s="73">
        <v>4</v>
      </c>
      <c r="P3" s="73"/>
      <c r="Q3" s="73"/>
      <c r="R3" s="1" t="s">
        <v>6</v>
      </c>
      <c r="S3" s="1" t="s">
        <v>7</v>
      </c>
      <c r="AF3" s="25" t="s">
        <v>68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7"/>
      <c r="AX3" s="28"/>
      <c r="AY3" s="28"/>
      <c r="AZ3" s="28"/>
      <c r="BA3" s="3"/>
      <c r="BB3" s="3"/>
      <c r="BC3" s="3"/>
      <c r="BD3" s="3"/>
      <c r="BE3" s="28"/>
      <c r="BF3" s="28"/>
      <c r="BG3" s="28"/>
    </row>
    <row r="4" spans="2:59" ht="15" customHeight="1">
      <c r="B4" s="74" t="s">
        <v>1</v>
      </c>
      <c r="C4" s="16"/>
      <c r="E4" s="7"/>
      <c r="F4" s="76" t="s">
        <v>4</v>
      </c>
      <c r="G4" s="77"/>
      <c r="H4" s="77"/>
      <c r="I4" s="77"/>
      <c r="J4" s="8"/>
      <c r="M4" s="18" t="s">
        <v>2</v>
      </c>
      <c r="N4" s="17" t="s">
        <v>5</v>
      </c>
      <c r="O4" s="73">
        <v>6.4</v>
      </c>
      <c r="P4" s="73"/>
      <c r="Q4" s="73"/>
      <c r="R4" s="1" t="s">
        <v>6</v>
      </c>
      <c r="S4" s="18" t="s">
        <v>8</v>
      </c>
      <c r="AF4" s="29"/>
      <c r="AG4" s="29"/>
      <c r="AH4" s="27"/>
      <c r="AI4" s="27"/>
      <c r="AJ4" s="27"/>
      <c r="AK4" s="27"/>
      <c r="AL4" s="2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7"/>
      <c r="AX4" s="28"/>
      <c r="AY4" s="28"/>
      <c r="AZ4" s="28"/>
      <c r="BA4" s="3"/>
      <c r="BB4" s="3"/>
      <c r="BC4" s="3"/>
      <c r="BD4" s="3"/>
      <c r="BE4" s="28"/>
      <c r="BF4" s="28"/>
      <c r="BG4" s="28"/>
    </row>
    <row r="5" spans="2:59" ht="15" customHeight="1">
      <c r="B5" s="74"/>
      <c r="C5" s="16"/>
      <c r="E5" s="7"/>
      <c r="F5" s="77"/>
      <c r="G5" s="77"/>
      <c r="H5" s="77"/>
      <c r="I5" s="77"/>
      <c r="J5" s="8"/>
      <c r="AF5" s="29"/>
      <c r="AG5" s="90"/>
      <c r="AH5" s="90"/>
      <c r="AI5" s="30" t="s">
        <v>69</v>
      </c>
      <c r="AJ5" s="27"/>
      <c r="AK5" s="27"/>
      <c r="AL5" s="27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7"/>
      <c r="AX5" s="28"/>
      <c r="AY5" s="28"/>
      <c r="AZ5" s="28"/>
      <c r="BA5" s="3"/>
      <c r="BB5" s="3"/>
      <c r="BC5" s="3"/>
      <c r="BD5" s="3"/>
      <c r="BE5" s="28"/>
      <c r="BF5" s="28"/>
      <c r="BG5" s="28"/>
    </row>
    <row r="6" spans="3:59" ht="15" customHeight="1" thickBot="1">
      <c r="C6" s="12"/>
      <c r="E6" s="9"/>
      <c r="F6" s="10"/>
      <c r="G6" s="10"/>
      <c r="H6" s="10"/>
      <c r="I6" s="10"/>
      <c r="J6" s="11"/>
      <c r="M6" s="17" t="s">
        <v>3</v>
      </c>
      <c r="N6" s="17" t="s">
        <v>5</v>
      </c>
      <c r="O6" s="70">
        <v>6.1</v>
      </c>
      <c r="P6" s="70"/>
      <c r="Q6" s="70"/>
      <c r="R6" s="1" t="s">
        <v>9</v>
      </c>
      <c r="T6" s="18" t="s">
        <v>15</v>
      </c>
      <c r="AF6" s="28"/>
      <c r="AG6" s="27" t="s">
        <v>70</v>
      </c>
      <c r="AH6" s="27"/>
      <c r="AI6" s="27"/>
      <c r="AJ6" s="26"/>
      <c r="AK6" s="26"/>
      <c r="AL6" s="27"/>
      <c r="AM6" s="27"/>
      <c r="AN6" s="27"/>
      <c r="AO6" s="27"/>
      <c r="AP6" s="26"/>
      <c r="AQ6" s="26"/>
      <c r="AR6" s="26"/>
      <c r="AS6" s="26"/>
      <c r="AT6" s="26"/>
      <c r="AU6" s="26"/>
      <c r="AV6" s="26"/>
      <c r="AW6" s="27"/>
      <c r="AX6" s="28"/>
      <c r="AY6" s="28"/>
      <c r="AZ6" s="28"/>
      <c r="BA6" s="3"/>
      <c r="BB6" s="3"/>
      <c r="BC6" s="3"/>
      <c r="BD6" s="3"/>
      <c r="BE6" s="28"/>
      <c r="BF6" s="28"/>
      <c r="BG6" s="28"/>
    </row>
    <row r="7" spans="32:59" ht="15" customHeight="1">
      <c r="AF7" s="28"/>
      <c r="AG7" s="27" t="s">
        <v>71</v>
      </c>
      <c r="AH7" s="27"/>
      <c r="AI7" s="27"/>
      <c r="AJ7" s="27"/>
      <c r="AK7" s="27"/>
      <c r="AL7" s="27"/>
      <c r="AM7" s="27"/>
      <c r="AN7" s="27"/>
      <c r="AO7" s="27"/>
      <c r="AP7" s="26"/>
      <c r="AQ7" s="26"/>
      <c r="AR7" s="26"/>
      <c r="AS7" s="26"/>
      <c r="AT7" s="26"/>
      <c r="AU7" s="26"/>
      <c r="AV7" s="26"/>
      <c r="AW7" s="27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5:59" ht="15" customHeight="1">
      <c r="E8" s="12"/>
      <c r="F8" s="13"/>
      <c r="G8" s="75" t="s">
        <v>2</v>
      </c>
      <c r="H8" s="75"/>
      <c r="I8" s="13"/>
      <c r="J8" s="14"/>
      <c r="M8" s="17" t="s">
        <v>13</v>
      </c>
      <c r="N8" s="17" t="s">
        <v>5</v>
      </c>
      <c r="O8" s="69">
        <v>15</v>
      </c>
      <c r="P8" s="69"/>
      <c r="Q8" s="1" t="s">
        <v>14</v>
      </c>
      <c r="S8" s="18" t="s">
        <v>16</v>
      </c>
      <c r="AF8" s="28"/>
      <c r="AG8" s="28" t="s">
        <v>72</v>
      </c>
      <c r="AH8" s="28"/>
      <c r="AI8" s="28"/>
      <c r="AJ8" s="28"/>
      <c r="AK8" s="28"/>
      <c r="AL8" s="28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3:59" ht="15" customHeight="1">
      <c r="M9" s="21" t="s">
        <v>29</v>
      </c>
      <c r="N9" s="17" t="s">
        <v>5</v>
      </c>
      <c r="O9" s="69">
        <v>4</v>
      </c>
      <c r="P9" s="69"/>
      <c r="Q9" s="1" t="s">
        <v>14</v>
      </c>
      <c r="S9" s="18" t="s">
        <v>56</v>
      </c>
      <c r="AF9" s="28"/>
      <c r="AG9" s="28"/>
      <c r="AH9" s="28"/>
      <c r="AI9" s="28"/>
      <c r="AJ9" s="28"/>
      <c r="AK9" s="28"/>
      <c r="AL9" s="27"/>
      <c r="AM9" s="27"/>
      <c r="AN9" s="27"/>
      <c r="AO9" s="27"/>
      <c r="AP9" s="26"/>
      <c r="AQ9" s="26"/>
      <c r="AR9" s="26"/>
      <c r="AS9" s="26"/>
      <c r="AT9" s="26"/>
      <c r="AU9" s="26"/>
      <c r="AV9" s="26"/>
      <c r="AW9" s="27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3:59" ht="15" customHeight="1">
      <c r="M10" s="21" t="s">
        <v>30</v>
      </c>
      <c r="N10" s="17" t="s">
        <v>5</v>
      </c>
      <c r="O10" s="69">
        <v>5</v>
      </c>
      <c r="P10" s="69"/>
      <c r="Q10" s="1" t="s">
        <v>14</v>
      </c>
      <c r="S10" s="18" t="s">
        <v>57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6"/>
      <c r="AU10" s="26"/>
      <c r="AV10" s="26"/>
      <c r="AW10" s="27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3:33" ht="15" customHeight="1">
      <c r="M11" s="20" t="s">
        <v>58</v>
      </c>
      <c r="N11" s="17" t="s">
        <v>5</v>
      </c>
      <c r="O11" s="79">
        <v>24</v>
      </c>
      <c r="P11" s="79"/>
      <c r="Q11" s="80" t="s">
        <v>59</v>
      </c>
      <c r="R11" s="80"/>
      <c r="S11" s="18" t="s">
        <v>60</v>
      </c>
      <c r="AG11" s="1" t="s">
        <v>73</v>
      </c>
    </row>
    <row r="12" spans="2:38" ht="15" customHeight="1">
      <c r="B12" s="19" t="s">
        <v>11</v>
      </c>
      <c r="AG12" s="83" t="s">
        <v>47</v>
      </c>
      <c r="AH12" s="83"/>
      <c r="AI12" s="83"/>
      <c r="AJ12" s="83" t="s">
        <v>48</v>
      </c>
      <c r="AK12" s="83"/>
      <c r="AL12" s="83"/>
    </row>
    <row r="13" spans="3:38" ht="15" customHeight="1">
      <c r="C13" s="17" t="s">
        <v>10</v>
      </c>
      <c r="D13" s="17" t="s">
        <v>5</v>
      </c>
      <c r="E13" s="18" t="s">
        <v>12</v>
      </c>
      <c r="AG13" s="83" t="s">
        <v>42</v>
      </c>
      <c r="AH13" s="83"/>
      <c r="AI13" s="83"/>
      <c r="AJ13" s="83">
        <v>0.71</v>
      </c>
      <c r="AK13" s="83"/>
      <c r="AL13" s="83"/>
    </row>
    <row r="14" spans="4:38" ht="15" customHeight="1">
      <c r="D14" s="17" t="s">
        <v>5</v>
      </c>
      <c r="E14" s="1" t="str">
        <f>TEXT(Ly,"0.000")&amp;"^4 / ( "&amp;TEXT(Lx,"0.000")&amp;"^4 + "&amp;TEXT(Ly,"0.000")&amp;"^4 ) ×  "&amp;TEXT(W,"0.00")</f>
        <v>6.400^4 / ( 4.000^4 + 6.400^4 ) ×  6.10</v>
      </c>
      <c r="AG14" s="85" t="s">
        <v>44</v>
      </c>
      <c r="AH14" s="83"/>
      <c r="AI14" s="83"/>
      <c r="AJ14" s="83">
        <f>1.98/2</f>
        <v>0.99</v>
      </c>
      <c r="AK14" s="83"/>
      <c r="AL14" s="83"/>
    </row>
    <row r="15" spans="4:38" ht="15" customHeight="1">
      <c r="D15" s="17" t="s">
        <v>5</v>
      </c>
      <c r="E15" s="71">
        <f>ROUNDUP(Ly^4/(Lx^4+Ly^4)*W,2)</f>
        <v>5.3</v>
      </c>
      <c r="F15" s="71"/>
      <c r="G15" s="71"/>
      <c r="H15" s="1" t="s">
        <v>9</v>
      </c>
      <c r="AG15" s="83" t="s">
        <v>45</v>
      </c>
      <c r="AH15" s="83"/>
      <c r="AI15" s="83"/>
      <c r="AJ15" s="83">
        <v>1.27</v>
      </c>
      <c r="AK15" s="83"/>
      <c r="AL15" s="83"/>
    </row>
    <row r="16" spans="3:38" ht="15" customHeight="1">
      <c r="C16" s="18" t="s">
        <v>17</v>
      </c>
      <c r="AG16" s="85" t="s">
        <v>46</v>
      </c>
      <c r="AH16" s="83"/>
      <c r="AI16" s="83"/>
      <c r="AJ16" s="83">
        <v>1.99</v>
      </c>
      <c r="AK16" s="83"/>
      <c r="AL16" s="83"/>
    </row>
    <row r="17" spans="4:25" ht="15" customHeight="1">
      <c r="D17" s="20" t="s">
        <v>18</v>
      </c>
      <c r="E17" s="17" t="s">
        <v>5</v>
      </c>
      <c r="F17" s="72" t="s">
        <v>19</v>
      </c>
      <c r="G17" s="72"/>
      <c r="H17" s="72"/>
      <c r="I17" s="72"/>
      <c r="J17" s="72"/>
      <c r="K17" s="17" t="s">
        <v>5</v>
      </c>
      <c r="L17" s="18" t="str">
        <f>"1/12 × "&amp;TEXT(Wx,"0.00")&amp;" × "&amp;TEXT(Lx,"0.000")&amp;"^2"</f>
        <v>1/12 × 5.30 × 4.000^2</v>
      </c>
      <c r="U17" s="17" t="s">
        <v>5</v>
      </c>
      <c r="V17" s="78">
        <f>ROUNDUP(1/12*Wx*Lx^2,2)</f>
        <v>7.069999999999999</v>
      </c>
      <c r="W17" s="78"/>
      <c r="X17" s="78"/>
      <c r="Y17" s="1" t="s">
        <v>20</v>
      </c>
    </row>
    <row r="18" ht="15" customHeight="1">
      <c r="C18" s="18" t="s">
        <v>21</v>
      </c>
    </row>
    <row r="19" spans="4:61" ht="15" customHeight="1" thickBot="1">
      <c r="D19" s="21" t="s">
        <v>22</v>
      </c>
      <c r="E19" s="17" t="s">
        <v>5</v>
      </c>
      <c r="F19" s="72" t="s">
        <v>23</v>
      </c>
      <c r="G19" s="72"/>
      <c r="H19" s="72"/>
      <c r="I19" s="72"/>
      <c r="J19" s="72"/>
      <c r="K19" s="17" t="s">
        <v>5</v>
      </c>
      <c r="L19" s="18" t="str">
        <f>"1/18 × "&amp;TEXT(Wx,"0.00")&amp;" × "&amp;TEXT(Lx,"0.000")&amp;"^2"</f>
        <v>1/18 × 5.30 × 4.000^2</v>
      </c>
      <c r="U19" s="17" t="s">
        <v>5</v>
      </c>
      <c r="V19" s="78">
        <f>ROUNDUP(1/18*Wx*Lx^2,2)</f>
        <v>4.72</v>
      </c>
      <c r="W19" s="78"/>
      <c r="X19" s="78"/>
      <c r="Y19" s="1" t="s">
        <v>20</v>
      </c>
      <c r="AG19" s="28"/>
      <c r="AH19" s="28"/>
      <c r="AI19" s="98" t="s">
        <v>74</v>
      </c>
      <c r="AJ19" s="98"/>
      <c r="AK19" s="98"/>
      <c r="AL19" s="98"/>
      <c r="AM19" s="98"/>
      <c r="AN19" s="3"/>
      <c r="AO19" s="3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3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3:61" ht="15" customHeight="1" thickTop="1">
      <c r="C20" s="18" t="s">
        <v>24</v>
      </c>
      <c r="AG20" s="28"/>
      <c r="AH20" s="31"/>
      <c r="AI20" s="98"/>
      <c r="AJ20" s="98"/>
      <c r="AK20" s="98"/>
      <c r="AL20" s="98"/>
      <c r="AM20" s="98"/>
      <c r="AN20" s="100"/>
      <c r="AO20" s="100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0"/>
      <c r="BA20" s="32"/>
      <c r="BB20" s="32"/>
      <c r="BC20" s="32"/>
      <c r="BD20" s="32"/>
      <c r="BE20" s="32"/>
      <c r="BF20" s="32"/>
      <c r="BG20" s="32"/>
      <c r="BH20" s="33"/>
      <c r="BI20" s="28"/>
    </row>
    <row r="21" spans="4:61" ht="15" customHeight="1">
      <c r="D21" s="21" t="s">
        <v>25</v>
      </c>
      <c r="E21" s="17" t="s">
        <v>5</v>
      </c>
      <c r="F21" s="72" t="s">
        <v>26</v>
      </c>
      <c r="G21" s="72"/>
      <c r="H21" s="72"/>
      <c r="I21" s="72"/>
      <c r="J21" s="72"/>
      <c r="K21" s="17" t="s">
        <v>5</v>
      </c>
      <c r="L21" s="18" t="str">
        <f>"1/24 × "&amp;TEXT(W,"0.00")&amp;" × "&amp;TEXT(Lx,"0.000")&amp;"^2"</f>
        <v>1/24 × 6.10 × 4.000^2</v>
      </c>
      <c r="U21" s="17" t="s">
        <v>5</v>
      </c>
      <c r="V21" s="78">
        <f>ROUNDUP(1/24*W*Lx^2,2)</f>
        <v>4.069999999999999</v>
      </c>
      <c r="W21" s="78"/>
      <c r="X21" s="78"/>
      <c r="Y21" s="1" t="s">
        <v>20</v>
      </c>
      <c r="AG21" s="28"/>
      <c r="AH21" s="34"/>
      <c r="AI21" s="102"/>
      <c r="AJ21" s="39"/>
      <c r="AK21" s="39"/>
      <c r="AL21" s="39"/>
      <c r="AM21" s="39"/>
      <c r="AN21" s="39"/>
      <c r="AO21" s="39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39"/>
      <c r="BA21" s="35"/>
      <c r="BB21" s="35"/>
      <c r="BC21" s="35"/>
      <c r="BD21" s="35"/>
      <c r="BE21" s="35"/>
      <c r="BF21" s="35"/>
      <c r="BG21" s="35"/>
      <c r="BH21" s="36"/>
      <c r="BI21" s="28"/>
    </row>
    <row r="22" spans="3:61" ht="15" customHeight="1">
      <c r="C22" s="18" t="s">
        <v>27</v>
      </c>
      <c r="AG22" s="28"/>
      <c r="AH22" s="34"/>
      <c r="AI22" s="103" t="s">
        <v>75</v>
      </c>
      <c r="AJ22" s="39"/>
      <c r="AK22" s="39"/>
      <c r="AL22" s="39"/>
      <c r="AM22" s="39"/>
      <c r="AN22" s="39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9"/>
      <c r="AZ22" s="35"/>
      <c r="BA22" s="35"/>
      <c r="BB22" s="35"/>
      <c r="BC22" s="35"/>
      <c r="BD22" s="35"/>
      <c r="BE22" s="35"/>
      <c r="BF22" s="35"/>
      <c r="BG22" s="35"/>
      <c r="BH22" s="36"/>
      <c r="BI22" s="28"/>
    </row>
    <row r="23" spans="4:61" ht="15" customHeight="1">
      <c r="D23" s="21" t="s">
        <v>25</v>
      </c>
      <c r="E23" s="17" t="s">
        <v>5</v>
      </c>
      <c r="F23" s="72" t="s">
        <v>28</v>
      </c>
      <c r="G23" s="72"/>
      <c r="H23" s="72"/>
      <c r="I23" s="72"/>
      <c r="J23" s="72"/>
      <c r="K23" s="17" t="s">
        <v>5</v>
      </c>
      <c r="L23" s="18" t="str">
        <f>"1/36 × "&amp;TEXT(W,"0.00")&amp;" × "&amp;TEXT(Lx,"0.000")&amp;"^2"</f>
        <v>1/36 × 6.10 × 4.000^2</v>
      </c>
      <c r="U23" s="17" t="s">
        <v>5</v>
      </c>
      <c r="V23" s="78">
        <f>ROUNDUP(1/36*W*Lx^2,2)</f>
        <v>2.7199999999999998</v>
      </c>
      <c r="W23" s="78"/>
      <c r="X23" s="78"/>
      <c r="Y23" s="1" t="s">
        <v>20</v>
      </c>
      <c r="AG23" s="28"/>
      <c r="AH23" s="34"/>
      <c r="AI23" s="39"/>
      <c r="AJ23" s="39"/>
      <c r="AK23" s="39"/>
      <c r="AL23" s="39"/>
      <c r="AM23" s="39"/>
      <c r="AN23" s="39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9"/>
      <c r="AZ23" s="35"/>
      <c r="BA23" s="35"/>
      <c r="BB23" s="35"/>
      <c r="BC23" s="35"/>
      <c r="BD23" s="35"/>
      <c r="BE23" s="35"/>
      <c r="BF23" s="35"/>
      <c r="BG23" s="35"/>
      <c r="BH23" s="36"/>
      <c r="BI23" s="28"/>
    </row>
    <row r="24" spans="33:61" ht="15" customHeight="1">
      <c r="AG24" s="28"/>
      <c r="AH24" s="34"/>
      <c r="AI24" s="35"/>
      <c r="AJ24" s="37" t="s">
        <v>116</v>
      </c>
      <c r="AK24" s="104" t="s">
        <v>117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35"/>
      <c r="AW24" s="39"/>
      <c r="AX24" s="35"/>
      <c r="AY24" s="38" t="s">
        <v>76</v>
      </c>
      <c r="AZ24" s="35"/>
      <c r="BA24" s="35"/>
      <c r="BB24" s="35"/>
      <c r="BC24" s="35"/>
      <c r="BD24" s="35"/>
      <c r="BE24" s="35"/>
      <c r="BF24" s="35"/>
      <c r="BG24" s="35"/>
      <c r="BH24" s="36"/>
      <c r="BI24" s="28"/>
    </row>
    <row r="25" spans="2:61" ht="15" customHeight="1">
      <c r="B25" s="18" t="s">
        <v>35</v>
      </c>
      <c r="AG25" s="28"/>
      <c r="AH25" s="34"/>
      <c r="AI25" s="35"/>
      <c r="AJ25" s="35"/>
      <c r="AK25" s="35"/>
      <c r="AL25" s="35"/>
      <c r="AM25" s="35"/>
      <c r="AN25" s="35"/>
      <c r="AO25" s="39"/>
      <c r="AP25" s="39"/>
      <c r="AQ25" s="39"/>
      <c r="AR25" s="39"/>
      <c r="AS25" s="39"/>
      <c r="AT25" s="39"/>
      <c r="AU25" s="39"/>
      <c r="AV25" s="39"/>
      <c r="AW25" s="39"/>
      <c r="AX25" s="35"/>
      <c r="AY25" s="39"/>
      <c r="AZ25" s="35"/>
      <c r="BA25" s="35"/>
      <c r="BB25" s="35"/>
      <c r="BC25" s="35"/>
      <c r="BD25" s="35"/>
      <c r="BE25" s="35"/>
      <c r="BF25" s="35"/>
      <c r="BG25" s="35"/>
      <c r="BH25" s="36"/>
      <c r="BI25" s="28"/>
    </row>
    <row r="26" spans="3:61" ht="15" customHeight="1">
      <c r="C26" s="1" t="s">
        <v>31</v>
      </c>
      <c r="G26" s="22" t="s">
        <v>32</v>
      </c>
      <c r="H26" s="17" t="s">
        <v>5</v>
      </c>
      <c r="I26" s="24" t="str">
        <f>" 7/8 × ( "&amp;TEXT(t,"0.0")&amp;" - "&amp;TEXT(dtx,"0.0")&amp;" )"</f>
        <v> 7/8 × ( 15.0 - 4.0 )</v>
      </c>
      <c r="J26" s="23"/>
      <c r="K26" s="17"/>
      <c r="L26" s="24"/>
      <c r="M26" s="19"/>
      <c r="R26" s="17" t="s">
        <v>5</v>
      </c>
      <c r="S26" s="78">
        <f>ROUNDDOWN(7/8*(t-dtx),3)</f>
        <v>9.625</v>
      </c>
      <c r="T26" s="78"/>
      <c r="U26" s="78"/>
      <c r="V26" s="1" t="s">
        <v>14</v>
      </c>
      <c r="AG26" s="28"/>
      <c r="AH26" s="34"/>
      <c r="AI26" s="35"/>
      <c r="AJ26" s="35"/>
      <c r="AK26" s="35"/>
      <c r="AL26" s="35"/>
      <c r="AM26" s="35"/>
      <c r="AN26" s="35"/>
      <c r="AO26" s="39"/>
      <c r="AP26" s="39"/>
      <c r="AQ26" s="39"/>
      <c r="AR26" s="39"/>
      <c r="AS26" s="39"/>
      <c r="AT26" s="39"/>
      <c r="AU26" s="39"/>
      <c r="AV26" s="39"/>
      <c r="AW26" s="39"/>
      <c r="AX26" s="35"/>
      <c r="AY26" s="39"/>
      <c r="AZ26" s="35"/>
      <c r="BA26" s="35"/>
      <c r="BB26" s="35"/>
      <c r="BC26" s="35"/>
      <c r="BD26" s="35"/>
      <c r="BE26" s="35"/>
      <c r="BF26" s="35"/>
      <c r="BG26" s="35"/>
      <c r="BH26" s="36"/>
      <c r="BI26" s="28"/>
    </row>
    <row r="27" spans="3:61" ht="15" customHeight="1">
      <c r="C27" s="1" t="s">
        <v>33</v>
      </c>
      <c r="G27" s="22" t="s">
        <v>34</v>
      </c>
      <c r="H27" s="17" t="s">
        <v>5</v>
      </c>
      <c r="I27" s="24" t="str">
        <f>" 7/8 × ( "&amp;TEXT(t,"0.0")&amp;" - "&amp;TEXT(dty,"0.0")&amp;" )"</f>
        <v> 7/8 × ( 15.0 - 5.0 )</v>
      </c>
      <c r="J27" s="23"/>
      <c r="K27" s="17"/>
      <c r="L27" s="24"/>
      <c r="M27" s="19"/>
      <c r="R27" s="17" t="s">
        <v>5</v>
      </c>
      <c r="S27" s="78">
        <f>ROUNDDOWN(7/8*(t-dty),3)</f>
        <v>8.75</v>
      </c>
      <c r="T27" s="78"/>
      <c r="U27" s="78"/>
      <c r="V27" s="1" t="s">
        <v>14</v>
      </c>
      <c r="AG27" s="28"/>
      <c r="AH27" s="34"/>
      <c r="AI27" s="35"/>
      <c r="AJ27" s="37" t="s">
        <v>116</v>
      </c>
      <c r="AK27" s="68" t="s">
        <v>118</v>
      </c>
      <c r="AL27" s="68"/>
      <c r="AM27" s="68"/>
      <c r="AN27" s="68"/>
      <c r="AO27" s="68"/>
      <c r="AP27" s="68"/>
      <c r="AQ27" s="68"/>
      <c r="AR27" s="68"/>
      <c r="AS27" s="68"/>
      <c r="AT27" s="68"/>
      <c r="AU27" s="105"/>
      <c r="AV27" s="105"/>
      <c r="AW27" s="35"/>
      <c r="AX27" s="35"/>
      <c r="AY27" s="38" t="s">
        <v>119</v>
      </c>
      <c r="AZ27" s="35"/>
      <c r="BA27" s="35"/>
      <c r="BB27" s="35"/>
      <c r="BC27" s="35"/>
      <c r="BD27" s="35"/>
      <c r="BE27" s="35"/>
      <c r="BF27" s="35"/>
      <c r="BG27" s="35"/>
      <c r="BH27" s="36"/>
      <c r="BI27" s="28"/>
    </row>
    <row r="28" spans="3:61" ht="15" customHeight="1">
      <c r="C28" s="18" t="s">
        <v>17</v>
      </c>
      <c r="AB28" s="86" t="s">
        <v>49</v>
      </c>
      <c r="AC28" s="86"/>
      <c r="AG28" s="28"/>
      <c r="AH28" s="34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28"/>
    </row>
    <row r="29" spans="4:61" ht="15" customHeight="1">
      <c r="D29" s="17" t="s">
        <v>36</v>
      </c>
      <c r="E29" s="17" t="s">
        <v>5</v>
      </c>
      <c r="F29" s="1" t="str">
        <f>TEXT(Mx1,"0.00")&amp;" × 100 / 19.5 / "&amp;TEXT(Jx,"0.000")</f>
        <v>7.07 × 100 / 19.5 / 9.625</v>
      </c>
      <c r="P29" s="17" t="s">
        <v>5</v>
      </c>
      <c r="Q29" s="81">
        <f>ROUNDUP(Mx1*100/19.5/Jx,2)</f>
        <v>3.7699999999999996</v>
      </c>
      <c r="R29" s="81"/>
      <c r="S29" s="18" t="s">
        <v>37</v>
      </c>
      <c r="U29" s="17" t="s">
        <v>38</v>
      </c>
      <c r="V29" s="82" t="s">
        <v>43</v>
      </c>
      <c r="W29" s="82"/>
      <c r="X29" s="82"/>
      <c r="Y29" s="84">
        <v>200</v>
      </c>
      <c r="Z29" s="84"/>
      <c r="AA29" s="20" t="s">
        <v>39</v>
      </c>
      <c r="AB29" s="71">
        <f>Q29/(VLOOKUP(V29,$AG$13:$AL$16,4,FALSE)*1000/Y29)</f>
        <v>0.7616161616161615</v>
      </c>
      <c r="AC29" s="71"/>
      <c r="AD29" s="1" t="s">
        <v>40</v>
      </c>
      <c r="AG29" s="28"/>
      <c r="AH29" s="34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6"/>
      <c r="BI29" s="28"/>
    </row>
    <row r="30" spans="3:61" ht="15" customHeight="1">
      <c r="C30" s="18" t="s">
        <v>21</v>
      </c>
      <c r="AG30" s="28"/>
      <c r="AH30" s="34"/>
      <c r="AI30" s="35"/>
      <c r="AJ30" s="37" t="s">
        <v>116</v>
      </c>
      <c r="AK30" s="91" t="s">
        <v>120</v>
      </c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35"/>
      <c r="AX30" s="35"/>
      <c r="AY30" s="38" t="s">
        <v>114</v>
      </c>
      <c r="AZ30" s="35"/>
      <c r="BA30" s="35"/>
      <c r="BB30" s="35"/>
      <c r="BC30" s="35"/>
      <c r="BD30" s="35"/>
      <c r="BE30" s="35"/>
      <c r="BF30" s="35"/>
      <c r="BG30" s="35"/>
      <c r="BH30" s="36"/>
      <c r="BI30" s="28"/>
    </row>
    <row r="31" spans="4:61" ht="15" customHeight="1">
      <c r="D31" s="17" t="s">
        <v>36</v>
      </c>
      <c r="E31" s="17" t="s">
        <v>5</v>
      </c>
      <c r="F31" s="1" t="str">
        <f>TEXT(Mx2,"0.00")&amp;" × 100 / 19.5 / "&amp;TEXT(Jx,"0.000")</f>
        <v>4.72 × 100 / 19.5 / 9.625</v>
      </c>
      <c r="P31" s="17" t="s">
        <v>5</v>
      </c>
      <c r="Q31" s="81">
        <f>ROUNDUP(Mx2*100/19.5/Jx,2)</f>
        <v>2.5199999999999996</v>
      </c>
      <c r="R31" s="81"/>
      <c r="S31" s="18" t="s">
        <v>37</v>
      </c>
      <c r="U31" s="17" t="s">
        <v>38</v>
      </c>
      <c r="V31" s="82" t="s">
        <v>41</v>
      </c>
      <c r="W31" s="82"/>
      <c r="X31" s="82"/>
      <c r="Y31" s="84">
        <v>200</v>
      </c>
      <c r="Z31" s="84"/>
      <c r="AA31" s="20" t="s">
        <v>39</v>
      </c>
      <c r="AB31" s="71">
        <f>Q31/(VLOOKUP(V31,$AG$13:$AL$16,4,FALSE)*1000/Y31)</f>
        <v>0.7098591549295774</v>
      </c>
      <c r="AC31" s="71"/>
      <c r="AD31" s="1" t="s">
        <v>40</v>
      </c>
      <c r="AG31" s="28"/>
      <c r="AH31" s="34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5"/>
      <c r="BG31" s="35"/>
      <c r="BH31" s="36"/>
      <c r="BI31" s="28"/>
    </row>
    <row r="32" spans="3:61" ht="15" customHeight="1">
      <c r="C32" s="18" t="s">
        <v>24</v>
      </c>
      <c r="AG32" s="28"/>
      <c r="AH32" s="34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6"/>
      <c r="BI32" s="28"/>
    </row>
    <row r="33" spans="4:61" ht="15" customHeight="1">
      <c r="D33" s="17" t="s">
        <v>36</v>
      </c>
      <c r="E33" s="17" t="s">
        <v>5</v>
      </c>
      <c r="F33" s="1" t="str">
        <f>TEXT(My1,"0.00")&amp;" × 100 / 19.5 / "&amp;TEXT(Jy,"0.000")</f>
        <v>4.07 × 100 / 19.5 / 8.750</v>
      </c>
      <c r="P33" s="17" t="s">
        <v>5</v>
      </c>
      <c r="Q33" s="81">
        <f>ROUNDUP(My1*100/19.5/Jy,2)</f>
        <v>2.3899999999999997</v>
      </c>
      <c r="R33" s="81"/>
      <c r="S33" s="18" t="s">
        <v>37</v>
      </c>
      <c r="U33" s="17" t="s">
        <v>38</v>
      </c>
      <c r="V33" s="82" t="s">
        <v>41</v>
      </c>
      <c r="W33" s="82"/>
      <c r="X33" s="82"/>
      <c r="Y33" s="84">
        <v>250</v>
      </c>
      <c r="Z33" s="84"/>
      <c r="AA33" s="20" t="s">
        <v>39</v>
      </c>
      <c r="AB33" s="71">
        <f>Q33/(VLOOKUP(V33,$AG$13:$AL$16,4,FALSE)*1000/Y33)</f>
        <v>0.8415492957746478</v>
      </c>
      <c r="AC33" s="71"/>
      <c r="AD33" s="1" t="s">
        <v>40</v>
      </c>
      <c r="AG33" s="28"/>
      <c r="AH33" s="34"/>
      <c r="AI33" s="39"/>
      <c r="AJ33" s="37" t="s">
        <v>116</v>
      </c>
      <c r="AK33" s="89" t="s">
        <v>121</v>
      </c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40"/>
      <c r="AY33" s="38" t="s">
        <v>114</v>
      </c>
      <c r="AZ33" s="39"/>
      <c r="BA33" s="39"/>
      <c r="BB33" s="39"/>
      <c r="BC33" s="39"/>
      <c r="BD33" s="39"/>
      <c r="BE33" s="39"/>
      <c r="BF33" s="39"/>
      <c r="BG33" s="35"/>
      <c r="BH33" s="36"/>
      <c r="BI33" s="28"/>
    </row>
    <row r="34" spans="3:61" ht="15" customHeight="1">
      <c r="C34" s="18" t="s">
        <v>27</v>
      </c>
      <c r="AG34" s="28"/>
      <c r="AH34" s="3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35"/>
      <c r="BH34" s="36"/>
      <c r="BI34" s="28"/>
    </row>
    <row r="35" spans="4:61" ht="15" customHeight="1">
      <c r="D35" s="17" t="s">
        <v>36</v>
      </c>
      <c r="E35" s="17" t="s">
        <v>5</v>
      </c>
      <c r="F35" s="1" t="str">
        <f>TEXT(My2,"0.00")&amp;" × 100 / 19.5 / "&amp;TEXT(Jy,"0.000")</f>
        <v>2.72 × 100 / 19.5 / 8.750</v>
      </c>
      <c r="P35" s="17" t="s">
        <v>5</v>
      </c>
      <c r="Q35" s="81">
        <f>ROUNDUP(My2*100/19.5/Jy,2)</f>
        <v>1.6</v>
      </c>
      <c r="R35" s="81"/>
      <c r="S35" s="18" t="s">
        <v>37</v>
      </c>
      <c r="U35" s="17" t="s">
        <v>38</v>
      </c>
      <c r="V35" s="82" t="s">
        <v>41</v>
      </c>
      <c r="W35" s="82"/>
      <c r="X35" s="82"/>
      <c r="Y35" s="84">
        <v>250</v>
      </c>
      <c r="Z35" s="84"/>
      <c r="AA35" s="20" t="s">
        <v>39</v>
      </c>
      <c r="AB35" s="71">
        <f>Q35/(VLOOKUP(V35,$AG$13:$AL$16,4,FALSE)*1000/Y35)</f>
        <v>0.5633802816901409</v>
      </c>
      <c r="AC35" s="71"/>
      <c r="AD35" s="1" t="s">
        <v>40</v>
      </c>
      <c r="AG35" s="28"/>
      <c r="AH35" s="3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35"/>
      <c r="BH35" s="36"/>
      <c r="BI35" s="28"/>
    </row>
    <row r="36" spans="33:61" ht="15" customHeight="1">
      <c r="AG36" s="28"/>
      <c r="AH36" s="34"/>
      <c r="AI36" s="39"/>
      <c r="AJ36" s="37" t="s">
        <v>116</v>
      </c>
      <c r="AK36" s="89" t="s">
        <v>122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40"/>
      <c r="AV36" s="40"/>
      <c r="AW36" s="40"/>
      <c r="AX36" s="40"/>
      <c r="AY36" s="38" t="s">
        <v>115</v>
      </c>
      <c r="AZ36" s="39"/>
      <c r="BA36" s="39"/>
      <c r="BB36" s="39"/>
      <c r="BC36" s="39"/>
      <c r="BD36" s="39"/>
      <c r="BE36" s="39"/>
      <c r="BF36" s="39"/>
      <c r="BG36" s="35"/>
      <c r="BH36" s="36"/>
      <c r="BI36" s="28"/>
    </row>
    <row r="37" spans="2:61" ht="15" customHeight="1">
      <c r="B37" s="19" t="s">
        <v>50</v>
      </c>
      <c r="AG37" s="28"/>
      <c r="AH37" s="34"/>
      <c r="AI37" s="35"/>
      <c r="AJ37" s="35"/>
      <c r="AK37" s="35"/>
      <c r="AL37" s="39"/>
      <c r="AM37" s="39"/>
      <c r="AN37" s="39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39"/>
      <c r="BA37" s="39"/>
      <c r="BB37" s="39"/>
      <c r="BC37" s="39"/>
      <c r="BD37" s="39"/>
      <c r="BE37" s="39"/>
      <c r="BF37" s="39"/>
      <c r="BG37" s="39"/>
      <c r="BH37" s="36"/>
      <c r="BI37" s="28"/>
    </row>
    <row r="38" spans="3:61" ht="15" customHeight="1" thickBot="1">
      <c r="C38" s="17" t="s">
        <v>51</v>
      </c>
      <c r="D38" s="17" t="s">
        <v>5</v>
      </c>
      <c r="E38" s="18" t="str">
        <f>" W×Lx / 2 = "&amp;TEXT(W,"0.00")&amp;" × "&amp;TEXT(Lx,"0.000")&amp;" / 2"</f>
        <v> W×Lx / 2 = 6.10 × 4.000 / 2</v>
      </c>
      <c r="R38" s="17" t="s">
        <v>5</v>
      </c>
      <c r="S38" s="71">
        <f>ROUNDUP(W*Lx/2,2)</f>
        <v>12.2</v>
      </c>
      <c r="T38" s="71"/>
      <c r="U38" s="71"/>
      <c r="V38" s="1" t="s">
        <v>52</v>
      </c>
      <c r="AB38" s="86" t="s">
        <v>49</v>
      </c>
      <c r="AC38" s="86"/>
      <c r="AG38" s="28"/>
      <c r="AH38" s="41"/>
      <c r="AI38" s="42"/>
      <c r="AJ38" s="43"/>
      <c r="AK38" s="43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5"/>
      <c r="BI38" s="28"/>
    </row>
    <row r="39" spans="3:62" ht="15" customHeight="1" thickTop="1">
      <c r="C39" s="17" t="s">
        <v>53</v>
      </c>
      <c r="D39" s="17" t="s">
        <v>5</v>
      </c>
      <c r="E39" s="18" t="str">
        <f>" Q/( b×j ) = "&amp;TEXT(Q,"0.00")&amp;" / ( 100 × "&amp;TEXT(Jx,"0.000")&amp;" )"</f>
        <v> Q/( b×j ) = 12.20 / ( 100 × 9.625 )</v>
      </c>
      <c r="R39" s="17" t="s">
        <v>5</v>
      </c>
      <c r="S39" s="78">
        <f>ROUNDUP(Q/100/Jx,3)</f>
        <v>0.013000000000000001</v>
      </c>
      <c r="T39" s="78"/>
      <c r="U39" s="78"/>
      <c r="V39" s="72" t="s">
        <v>54</v>
      </c>
      <c r="W39" s="72"/>
      <c r="X39" s="17" t="s">
        <v>55</v>
      </c>
      <c r="Y39" s="71">
        <f>+O11/300</f>
        <v>0.08</v>
      </c>
      <c r="Z39" s="71"/>
      <c r="AA39" s="20" t="s">
        <v>39</v>
      </c>
      <c r="AB39" s="71">
        <f>+S39/Y39</f>
        <v>0.1625</v>
      </c>
      <c r="AC39" s="71"/>
      <c r="AD39" s="1" t="s">
        <v>40</v>
      </c>
      <c r="AG39" s="35"/>
      <c r="AH39" s="35"/>
      <c r="AI39" s="3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35"/>
      <c r="BI39" s="35"/>
      <c r="BJ39" s="48"/>
    </row>
    <row r="40" spans="33:62" ht="15" customHeight="1"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</row>
    <row r="41" ht="15" customHeight="1">
      <c r="B41" s="18" t="s">
        <v>65</v>
      </c>
    </row>
    <row r="42" spans="3:61" ht="15" customHeight="1">
      <c r="C42" s="1" t="s">
        <v>61</v>
      </c>
      <c r="D42" s="17" t="s">
        <v>5</v>
      </c>
      <c r="E42" s="18" t="str">
        <f>" Ly / Lx = "&amp;TEXT(Ly,"0.000")&amp;" / "&amp;TEXT(Lx,"0.000")</f>
        <v> Ly / Lx = 6.400 / 4.000</v>
      </c>
      <c r="Q42" s="17" t="s">
        <v>62</v>
      </c>
      <c r="R42" s="87">
        <f>ROUND(Ly/Lx,2)</f>
        <v>1.6</v>
      </c>
      <c r="S42" s="87"/>
      <c r="AG42" s="28"/>
      <c r="AH42" s="28"/>
      <c r="AI42" s="46"/>
      <c r="AJ42" s="47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</row>
    <row r="43" spans="3:19" ht="15" customHeight="1">
      <c r="C43" s="1" t="s">
        <v>63</v>
      </c>
      <c r="D43" s="17" t="s">
        <v>5</v>
      </c>
      <c r="E43" s="18" t="str">
        <f>" W - γc・t = "&amp;TEXT(W,"0.000")&amp;" - 24 × "&amp;TEXT(t,"0.000")/100</f>
        <v> W - γc・t = 6.100 - 24 × 0.15</v>
      </c>
      <c r="Q43" s="17" t="s">
        <v>62</v>
      </c>
      <c r="R43" s="87">
        <f>ROUND(W-24*t/100,2)</f>
        <v>2.5</v>
      </c>
      <c r="S43" s="87"/>
    </row>
    <row r="45" spans="3:5" ht="15" customHeight="1">
      <c r="C45" s="1" t="s">
        <v>64</v>
      </c>
      <c r="D45" s="17" t="s">
        <v>5</v>
      </c>
      <c r="E45" s="1" t="str">
        <f>" 0.02 ×{( "&amp;TEXT(λ,"0.00")&amp;" - 0.7 ) / ( "&amp;TEXT(λ,"0.00")&amp;" - 0.6 )}×( 1 + "&amp;TEXT(Wp,"0.00")&amp;" / 10 + "&amp;TEXT(Lx,"0.000")*1000&amp;" /10000 )×"&amp;TEXT(Lx,"0.000")*1000</f>
        <v> 0.02 ×{( 1.60 - 0.7 ) / ( 1.60 - 0.6 )}×( 1 + 2.50 / 10 + 4000 /10000 )×4000</v>
      </c>
    </row>
    <row r="46" spans="4:14" ht="15" customHeight="1">
      <c r="D46" s="17" t="s">
        <v>5</v>
      </c>
      <c r="E46" s="86">
        <f>ROUNDUP(0.02*(λ-0.7)/(λ-0.6)*(1+Wp/10+Lx*1000/10000)*Lx*100,1)</f>
        <v>11.9</v>
      </c>
      <c r="F46" s="86"/>
      <c r="G46" s="1" t="s">
        <v>66</v>
      </c>
      <c r="H46" s="17" t="s">
        <v>55</v>
      </c>
      <c r="I46" s="88">
        <f>+t</f>
        <v>15</v>
      </c>
      <c r="J46" s="88"/>
      <c r="K46" s="1" t="s">
        <v>67</v>
      </c>
      <c r="M46" s="78" t="str">
        <f>IF(E46&lt;I46,"OK","NG")</f>
        <v>OK</v>
      </c>
      <c r="N46" s="78"/>
    </row>
  </sheetData>
  <sheetProtection sheet="1" objects="1" scenarios="1"/>
  <mergeCells count="66">
    <mergeCell ref="AK33:AW33"/>
    <mergeCell ref="AK36:AT36"/>
    <mergeCell ref="AG5:AH5"/>
    <mergeCell ref="AI19:AM20"/>
    <mergeCell ref="AK24:AU24"/>
    <mergeCell ref="AJ16:AL16"/>
    <mergeCell ref="AG12:AI12"/>
    <mergeCell ref="AK30:AV30"/>
    <mergeCell ref="AJ12:AL12"/>
    <mergeCell ref="R42:S42"/>
    <mergeCell ref="R43:S43"/>
    <mergeCell ref="E46:F46"/>
    <mergeCell ref="I46:J46"/>
    <mergeCell ref="M46:N46"/>
    <mergeCell ref="Y35:Z35"/>
    <mergeCell ref="AB35:AC35"/>
    <mergeCell ref="S38:U38"/>
    <mergeCell ref="S39:U39"/>
    <mergeCell ref="Y39:Z39"/>
    <mergeCell ref="V39:W39"/>
    <mergeCell ref="AB39:AC39"/>
    <mergeCell ref="AB38:AC38"/>
    <mergeCell ref="Y31:Z31"/>
    <mergeCell ref="AB31:AC31"/>
    <mergeCell ref="Q33:R33"/>
    <mergeCell ref="V33:X33"/>
    <mergeCell ref="Y33:Z33"/>
    <mergeCell ref="AB33:AC33"/>
    <mergeCell ref="AJ13:AL13"/>
    <mergeCell ref="AJ14:AL14"/>
    <mergeCell ref="AJ15:AL15"/>
    <mergeCell ref="Y29:Z29"/>
    <mergeCell ref="AB29:AC29"/>
    <mergeCell ref="AG13:AI13"/>
    <mergeCell ref="AG14:AI14"/>
    <mergeCell ref="AG15:AI15"/>
    <mergeCell ref="AG16:AI16"/>
    <mergeCell ref="AB28:AC28"/>
    <mergeCell ref="S27:U27"/>
    <mergeCell ref="Q29:R29"/>
    <mergeCell ref="V29:X29"/>
    <mergeCell ref="Q35:R35"/>
    <mergeCell ref="V35:X35"/>
    <mergeCell ref="Q31:R31"/>
    <mergeCell ref="V31:X31"/>
    <mergeCell ref="F23:J23"/>
    <mergeCell ref="V23:X23"/>
    <mergeCell ref="O10:P10"/>
    <mergeCell ref="S26:U26"/>
    <mergeCell ref="O11:P11"/>
    <mergeCell ref="Q11:R11"/>
    <mergeCell ref="V21:X21"/>
    <mergeCell ref="V17:X17"/>
    <mergeCell ref="V19:X19"/>
    <mergeCell ref="O3:Q3"/>
    <mergeCell ref="O4:Q4"/>
    <mergeCell ref="B4:B5"/>
    <mergeCell ref="G8:H8"/>
    <mergeCell ref="F4:I5"/>
    <mergeCell ref="O8:P8"/>
    <mergeCell ref="O9:P9"/>
    <mergeCell ref="O6:Q6"/>
    <mergeCell ref="E15:G15"/>
    <mergeCell ref="F21:J21"/>
    <mergeCell ref="F17:J17"/>
    <mergeCell ref="F19:J19"/>
  </mergeCells>
  <conditionalFormatting sqref="AB29:AC29 AB31:AC31 AB33:AC33 AB35:AC35 AB39:AC39">
    <cfRule type="cellIs" priority="1" dxfId="4" operator="greaterThan" stopIfTrue="1">
      <formula>1</formula>
    </cfRule>
  </conditionalFormatting>
  <conditionalFormatting sqref="M46:N46">
    <cfRule type="expression" priority="2" dxfId="4" stopIfTrue="1">
      <formula>$E$46&gt;$I$46</formula>
    </cfRule>
  </conditionalFormatting>
  <dataValidations count="1">
    <dataValidation type="list" allowBlank="1" showInputMessage="1" showErrorMessage="1" sqref="V29:X29 V35:X35 V33:X33 V31:X31">
      <formula1>"D10＠,D10 D13＠,D13＠,D16＠"</formula1>
    </dataValidation>
  </dataValidations>
  <hyperlinks>
    <hyperlink ref="AK24" r:id="rId1" display="構造設計講座（擁壁編）ＰＤＦ版"/>
    <hyperlink ref="AK27:AQ27" r:id="rId2" display="地盤許容応力度の計算（EXCELシート）"/>
    <hyperlink ref="AK30:AV30" r:id="rId3" display="コンクリートブロック土留めの設計 "/>
    <hyperlink ref="AK33:AW33" r:id="rId4" display="擁壁下のラップ形式柱状地盤改良設計 "/>
    <hyperlink ref="AK36:AT36" r:id="rId5" display="ラップ式柱状改良の断面性能 "/>
    <hyperlink ref="AK24:AU24" r:id="rId6" display="構造設計講座（ＲＣマンション編）"/>
    <hyperlink ref="AK27" r:id="rId7" display="地盤許容応力度の計算（EXCELシート）"/>
  </hyperlinks>
  <printOptions/>
  <pageMargins left="0.75" right="0.75" top="1" bottom="1" header="0.512" footer="0.512"/>
  <pageSetup horizontalDpi="300" verticalDpi="3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1"/>
  <sheetViews>
    <sheetView zoomScalePageLayoutView="0" workbookViewId="0" topLeftCell="A10">
      <selection activeCell="AH21" sqref="AH21:BH40"/>
    </sheetView>
  </sheetViews>
  <sheetFormatPr defaultColWidth="9.00390625" defaultRowHeight="15" customHeight="1"/>
  <cols>
    <col min="1" max="65" width="2.875" style="1" customWidth="1"/>
    <col min="66" max="16384" width="9.00390625" style="1" customWidth="1"/>
  </cols>
  <sheetData>
    <row r="1" spans="1:2" s="3" customFormat="1" ht="19.5" customHeight="1">
      <c r="A1" s="2" t="s">
        <v>102</v>
      </c>
      <c r="B1" s="2"/>
    </row>
    <row r="2" spans="2:9" ht="15" customHeight="1">
      <c r="B2" s="48"/>
      <c r="C2" s="28"/>
      <c r="D2" s="28"/>
      <c r="E2" s="28"/>
      <c r="F2" s="28"/>
      <c r="G2" s="28"/>
      <c r="H2" s="28"/>
      <c r="I2" s="28"/>
    </row>
    <row r="3" spans="2:59" ht="15" customHeight="1">
      <c r="B3" s="48"/>
      <c r="C3" s="28"/>
      <c r="D3" s="28"/>
      <c r="E3" s="28"/>
      <c r="F3" s="28"/>
      <c r="G3" s="28"/>
      <c r="H3" s="95" t="s">
        <v>103</v>
      </c>
      <c r="I3" s="95"/>
      <c r="J3" s="48"/>
      <c r="M3" s="1" t="s">
        <v>77</v>
      </c>
      <c r="N3" s="17" t="s">
        <v>78</v>
      </c>
      <c r="O3" s="73">
        <v>1.8</v>
      </c>
      <c r="P3" s="73"/>
      <c r="Q3" s="73"/>
      <c r="R3" s="1" t="s">
        <v>79</v>
      </c>
      <c r="AF3" s="25" t="s">
        <v>68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7"/>
      <c r="AX3" s="28"/>
      <c r="AY3" s="28"/>
      <c r="AZ3" s="28"/>
      <c r="BA3" s="3"/>
      <c r="BB3" s="3"/>
      <c r="BC3" s="3"/>
      <c r="BD3" s="3"/>
      <c r="BE3" s="28"/>
      <c r="BF3" s="28"/>
      <c r="BG3" s="28"/>
    </row>
    <row r="4" spans="2:59" ht="15" customHeight="1">
      <c r="B4" s="49"/>
      <c r="C4" s="28"/>
      <c r="D4" s="28"/>
      <c r="E4" s="96" t="s">
        <v>104</v>
      </c>
      <c r="F4" s="96"/>
      <c r="G4" s="96"/>
      <c r="H4" s="50"/>
      <c r="I4" s="50"/>
      <c r="J4" s="48"/>
      <c r="M4" s="18"/>
      <c r="N4" s="17"/>
      <c r="O4" s="53"/>
      <c r="P4" s="53"/>
      <c r="Q4" s="53"/>
      <c r="S4" s="18"/>
      <c r="AF4" s="29"/>
      <c r="AG4" s="29"/>
      <c r="AH4" s="27"/>
      <c r="AI4" s="27"/>
      <c r="AJ4" s="27"/>
      <c r="AK4" s="27"/>
      <c r="AL4" s="2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7"/>
      <c r="AX4" s="28"/>
      <c r="AY4" s="28"/>
      <c r="AZ4" s="28"/>
      <c r="BA4" s="3"/>
      <c r="BB4" s="3"/>
      <c r="BC4" s="3"/>
      <c r="BD4" s="3"/>
      <c r="BE4" s="28"/>
      <c r="BF4" s="28"/>
      <c r="BG4" s="28"/>
    </row>
    <row r="5" spans="2:59" ht="15" customHeight="1" thickBot="1">
      <c r="B5" s="49"/>
      <c r="C5" s="51"/>
      <c r="D5" s="35"/>
      <c r="E5" s="97"/>
      <c r="F5" s="97"/>
      <c r="G5" s="97"/>
      <c r="H5" s="50"/>
      <c r="I5" s="50"/>
      <c r="J5" s="48"/>
      <c r="M5" s="17" t="s">
        <v>80</v>
      </c>
      <c r="N5" s="17" t="s">
        <v>81</v>
      </c>
      <c r="O5" s="70">
        <v>6.7</v>
      </c>
      <c r="P5" s="70"/>
      <c r="Q5" s="70"/>
      <c r="R5" s="1" t="s">
        <v>82</v>
      </c>
      <c r="T5" s="18" t="s">
        <v>107</v>
      </c>
      <c r="AF5" s="29"/>
      <c r="AG5" s="90"/>
      <c r="AH5" s="90"/>
      <c r="AI5" s="30" t="s">
        <v>69</v>
      </c>
      <c r="AJ5" s="27"/>
      <c r="AK5" s="27"/>
      <c r="AL5" s="27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7"/>
      <c r="AX5" s="28"/>
      <c r="AY5" s="28"/>
      <c r="AZ5" s="28"/>
      <c r="BA5" s="3"/>
      <c r="BB5" s="3"/>
      <c r="BC5" s="3"/>
      <c r="BD5" s="3"/>
      <c r="BE5" s="28"/>
      <c r="BF5" s="28"/>
      <c r="BG5" s="28"/>
    </row>
    <row r="6" spans="2:59" ht="15" customHeight="1" thickTop="1">
      <c r="B6" s="48"/>
      <c r="C6" s="51"/>
      <c r="D6" s="52"/>
      <c r="E6" s="52"/>
      <c r="F6" s="52"/>
      <c r="G6" s="52"/>
      <c r="H6" s="52"/>
      <c r="I6" s="28"/>
      <c r="J6" s="48"/>
      <c r="M6" s="17" t="s">
        <v>106</v>
      </c>
      <c r="N6" s="17" t="s">
        <v>81</v>
      </c>
      <c r="O6" s="70">
        <v>4.2</v>
      </c>
      <c r="P6" s="70"/>
      <c r="Q6" s="70"/>
      <c r="R6" s="18" t="s">
        <v>20</v>
      </c>
      <c r="T6" s="18" t="s">
        <v>108</v>
      </c>
      <c r="AF6" s="28"/>
      <c r="AG6" s="27" t="s">
        <v>70</v>
      </c>
      <c r="AH6" s="27"/>
      <c r="AI6" s="27"/>
      <c r="AJ6" s="26"/>
      <c r="AK6" s="26"/>
      <c r="AL6" s="27"/>
      <c r="AM6" s="27"/>
      <c r="AN6" s="27"/>
      <c r="AO6" s="27"/>
      <c r="AP6" s="26"/>
      <c r="AQ6" s="26"/>
      <c r="AR6" s="26"/>
      <c r="AS6" s="26"/>
      <c r="AT6" s="26"/>
      <c r="AU6" s="26"/>
      <c r="AV6" s="26"/>
      <c r="AW6" s="27"/>
      <c r="AX6" s="28"/>
      <c r="AY6" s="28"/>
      <c r="AZ6" s="28"/>
      <c r="BA6" s="3"/>
      <c r="BB6" s="3"/>
      <c r="BC6" s="3"/>
      <c r="BD6" s="3"/>
      <c r="BE6" s="28"/>
      <c r="BF6" s="28"/>
      <c r="BG6" s="28"/>
    </row>
    <row r="7" spans="2:59" ht="15" customHeight="1">
      <c r="B7" s="48"/>
      <c r="C7" s="28"/>
      <c r="D7" s="28"/>
      <c r="E7" s="28"/>
      <c r="F7" s="28"/>
      <c r="G7" s="28"/>
      <c r="H7" s="28"/>
      <c r="I7" s="28"/>
      <c r="J7" s="48"/>
      <c r="K7" s="48"/>
      <c r="L7" s="48"/>
      <c r="AF7" s="28"/>
      <c r="AG7" s="27" t="s">
        <v>71</v>
      </c>
      <c r="AH7" s="27"/>
      <c r="AI7" s="27"/>
      <c r="AJ7" s="27"/>
      <c r="AK7" s="27"/>
      <c r="AL7" s="27"/>
      <c r="AM7" s="27"/>
      <c r="AN7" s="27"/>
      <c r="AO7" s="27"/>
      <c r="AP7" s="26"/>
      <c r="AQ7" s="26"/>
      <c r="AR7" s="26"/>
      <c r="AS7" s="26"/>
      <c r="AT7" s="26"/>
      <c r="AU7" s="26"/>
      <c r="AV7" s="26"/>
      <c r="AW7" s="27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3:59" ht="15" customHeight="1">
      <c r="C8" s="28"/>
      <c r="D8" s="92" t="s">
        <v>105</v>
      </c>
      <c r="E8" s="93"/>
      <c r="F8" s="93"/>
      <c r="G8" s="93"/>
      <c r="H8" s="94"/>
      <c r="I8" s="28"/>
      <c r="J8" s="48"/>
      <c r="K8" s="48"/>
      <c r="L8" s="48"/>
      <c r="M8" s="17" t="s">
        <v>83</v>
      </c>
      <c r="N8" s="17" t="s">
        <v>84</v>
      </c>
      <c r="O8" s="69">
        <v>18</v>
      </c>
      <c r="P8" s="69"/>
      <c r="Q8" s="1" t="s">
        <v>85</v>
      </c>
      <c r="S8" s="18" t="s">
        <v>109</v>
      </c>
      <c r="AF8" s="28"/>
      <c r="AG8" s="28" t="s">
        <v>72</v>
      </c>
      <c r="AH8" s="28"/>
      <c r="AI8" s="28"/>
      <c r="AJ8" s="28"/>
      <c r="AK8" s="28"/>
      <c r="AL8" s="28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3:59" ht="15" customHeight="1">
      <c r="C9" s="28"/>
      <c r="D9" s="28"/>
      <c r="E9" s="28"/>
      <c r="F9" s="28"/>
      <c r="G9" s="28"/>
      <c r="H9" s="28"/>
      <c r="I9" s="28"/>
      <c r="J9" s="48"/>
      <c r="K9" s="48"/>
      <c r="L9" s="48"/>
      <c r="M9" s="21" t="s">
        <v>86</v>
      </c>
      <c r="N9" s="17" t="s">
        <v>87</v>
      </c>
      <c r="O9" s="69">
        <v>4</v>
      </c>
      <c r="P9" s="69"/>
      <c r="Q9" s="1" t="s">
        <v>88</v>
      </c>
      <c r="S9" s="18"/>
      <c r="AF9" s="28"/>
      <c r="AG9" s="28"/>
      <c r="AH9" s="28"/>
      <c r="AI9" s="28"/>
      <c r="AJ9" s="28"/>
      <c r="AK9" s="28"/>
      <c r="AL9" s="27"/>
      <c r="AM9" s="27"/>
      <c r="AN9" s="27"/>
      <c r="AO9" s="27"/>
      <c r="AP9" s="26"/>
      <c r="AQ9" s="26"/>
      <c r="AR9" s="26"/>
      <c r="AS9" s="26"/>
      <c r="AT9" s="26"/>
      <c r="AU9" s="26"/>
      <c r="AV9" s="26"/>
      <c r="AW9" s="27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3:59" ht="15" customHeight="1">
      <c r="C10" s="28"/>
      <c r="D10" s="28"/>
      <c r="E10" s="28"/>
      <c r="F10" s="28"/>
      <c r="G10" s="28"/>
      <c r="H10" s="28"/>
      <c r="I10" s="28"/>
      <c r="J10" s="48"/>
      <c r="K10" s="48"/>
      <c r="L10" s="48"/>
      <c r="M10" s="21"/>
      <c r="N10" s="17"/>
      <c r="O10" s="54"/>
      <c r="P10" s="54"/>
      <c r="S10" s="18"/>
      <c r="AF10" s="28"/>
      <c r="AG10" s="28"/>
      <c r="AH10" s="28"/>
      <c r="AI10" s="28"/>
      <c r="AJ10" s="28"/>
      <c r="AK10" s="28"/>
      <c r="AL10" s="27"/>
      <c r="AM10" s="27"/>
      <c r="AN10" s="27"/>
      <c r="AO10" s="27"/>
      <c r="AP10" s="26"/>
      <c r="AQ10" s="26"/>
      <c r="AR10" s="26"/>
      <c r="AS10" s="26"/>
      <c r="AT10" s="26"/>
      <c r="AU10" s="26"/>
      <c r="AV10" s="26"/>
      <c r="AW10" s="27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4:59" ht="15" customHeight="1">
      <c r="D11" s="48"/>
      <c r="E11" s="48"/>
      <c r="F11" s="48"/>
      <c r="G11" s="48"/>
      <c r="H11" s="48"/>
      <c r="I11" s="48"/>
      <c r="J11" s="48"/>
      <c r="K11" s="48"/>
      <c r="L11" s="48"/>
      <c r="M11" s="19" t="s">
        <v>111</v>
      </c>
      <c r="N11" s="17"/>
      <c r="O11" s="59"/>
      <c r="P11" s="59"/>
      <c r="Q11" s="70">
        <v>1.5</v>
      </c>
      <c r="R11" s="70"/>
      <c r="S11" s="1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6"/>
      <c r="AU11" s="26"/>
      <c r="AV11" s="26"/>
      <c r="AW11" s="27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4:59" ht="15" customHeight="1">
      <c r="D12" s="48"/>
      <c r="E12" s="48"/>
      <c r="F12" s="48"/>
      <c r="G12" s="48"/>
      <c r="H12" s="48"/>
      <c r="I12" s="48"/>
      <c r="J12" s="48"/>
      <c r="K12" s="48"/>
      <c r="L12" s="48"/>
      <c r="M12" s="19"/>
      <c r="N12" s="17"/>
      <c r="O12" s="59"/>
      <c r="P12" s="59"/>
      <c r="Q12" s="55"/>
      <c r="R12" s="55"/>
      <c r="S12" s="1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6"/>
      <c r="AU12" s="26"/>
      <c r="AV12" s="26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3:34" ht="15" customHeight="1">
      <c r="M13" s="20" t="s">
        <v>91</v>
      </c>
      <c r="N13" s="17" t="s">
        <v>92</v>
      </c>
      <c r="O13" s="79">
        <v>21</v>
      </c>
      <c r="P13" s="79"/>
      <c r="Q13" s="80" t="s">
        <v>93</v>
      </c>
      <c r="R13" s="80"/>
      <c r="S13" s="18" t="s">
        <v>60</v>
      </c>
      <c r="AH13" s="1" t="s">
        <v>73</v>
      </c>
    </row>
    <row r="14" spans="2:39" ht="15" customHeight="1">
      <c r="B14" s="19" t="s">
        <v>11</v>
      </c>
      <c r="AH14" s="83" t="s">
        <v>47</v>
      </c>
      <c r="AI14" s="83"/>
      <c r="AJ14" s="83"/>
      <c r="AK14" s="83" t="s">
        <v>48</v>
      </c>
      <c r="AL14" s="83"/>
      <c r="AM14" s="83"/>
    </row>
    <row r="15" spans="4:39" ht="15" customHeight="1">
      <c r="D15" s="22" t="s">
        <v>110</v>
      </c>
      <c r="E15" s="17" t="s">
        <v>89</v>
      </c>
      <c r="F15" s="1" t="str">
        <f>IF(W=0,""," 1/2 × "&amp;TEXT(W,"0.00")&amp;" × "&amp;TEXT(Lx,"0.00")&amp;"^2"&amp;" + ")&amp;IF(P=0,"",TEXT(P,"0.0")&amp;" × "&amp;TEXT(Lx,"0.00"))</f>
        <v> 1/2 × 6.70 × 1.80^2 + 4.2 × 1.80</v>
      </c>
      <c r="S15" s="17" t="s">
        <v>89</v>
      </c>
      <c r="T15" s="71">
        <f>ROUNDUP(1/2*W*Lx^2+P*Lx,2)</f>
        <v>18.42</v>
      </c>
      <c r="U15" s="71"/>
      <c r="V15" s="71"/>
      <c r="W15" s="1" t="s">
        <v>98</v>
      </c>
      <c r="AH15" s="83" t="s">
        <v>94</v>
      </c>
      <c r="AI15" s="83"/>
      <c r="AJ15" s="83"/>
      <c r="AK15" s="83">
        <v>0.71</v>
      </c>
      <c r="AL15" s="83"/>
      <c r="AM15" s="83"/>
    </row>
    <row r="16" spans="4:39" ht="15" customHeight="1">
      <c r="D16" s="17" t="s">
        <v>51</v>
      </c>
      <c r="E16" s="17" t="s">
        <v>89</v>
      </c>
      <c r="F16" s="1" t="str">
        <f>IF(W=0,""," "&amp;TEXT(W,"0.00")&amp;" × "&amp;TEXT(Lx,"0.00")&amp;" + ")&amp;IF(P=0,"",TEXT(P,"0.0"))</f>
        <v> 6.70 × 1.80 + 4.2</v>
      </c>
      <c r="G16" s="57"/>
      <c r="H16" s="57"/>
      <c r="I16" s="57"/>
      <c r="J16" s="57"/>
      <c r="K16" s="17"/>
      <c r="L16" s="18"/>
      <c r="S16" s="17" t="s">
        <v>89</v>
      </c>
      <c r="T16" s="71">
        <f>ROUNDUP(W*Lx+P,2)</f>
        <v>16.26</v>
      </c>
      <c r="U16" s="71"/>
      <c r="V16" s="71"/>
      <c r="W16" s="1" t="s">
        <v>52</v>
      </c>
      <c r="AH16" s="85" t="s">
        <v>95</v>
      </c>
      <c r="AI16" s="83"/>
      <c r="AJ16" s="83"/>
      <c r="AK16" s="83">
        <f>1.98/2</f>
        <v>0.99</v>
      </c>
      <c r="AL16" s="83"/>
      <c r="AM16" s="83"/>
    </row>
    <row r="17" spans="4:39" ht="15" customHeight="1">
      <c r="D17" s="17"/>
      <c r="E17" s="56"/>
      <c r="F17" s="56"/>
      <c r="G17" s="56"/>
      <c r="AH17" s="83" t="s">
        <v>96</v>
      </c>
      <c r="AI17" s="83"/>
      <c r="AJ17" s="83"/>
      <c r="AK17" s="83">
        <v>1.27</v>
      </c>
      <c r="AL17" s="83"/>
      <c r="AM17" s="83"/>
    </row>
    <row r="18" spans="2:39" ht="15" customHeight="1">
      <c r="B18" s="18" t="s">
        <v>35</v>
      </c>
      <c r="C18" s="18"/>
      <c r="AH18" s="85" t="s">
        <v>97</v>
      </c>
      <c r="AI18" s="83"/>
      <c r="AJ18" s="83"/>
      <c r="AK18" s="83">
        <v>1.99</v>
      </c>
      <c r="AL18" s="83"/>
      <c r="AM18" s="83"/>
    </row>
    <row r="19" spans="3:18" ht="15" customHeight="1">
      <c r="C19" s="22" t="s">
        <v>112</v>
      </c>
      <c r="D19" s="17" t="s">
        <v>89</v>
      </c>
      <c r="E19" s="24" t="str">
        <f>" 7/8 × ( "&amp;TEXT(t,"0.0")&amp;" - "&amp;TEXT(dtx,"0.0")&amp;" )"</f>
        <v> 7/8 × ( 18.0 - 4.0 )</v>
      </c>
      <c r="F19" s="23"/>
      <c r="G19" s="17"/>
      <c r="H19" s="24"/>
      <c r="I19" s="19"/>
      <c r="N19" s="17" t="s">
        <v>89</v>
      </c>
      <c r="O19" s="78">
        <f>ROUNDDOWN(7/8*(t-dtx),3)</f>
        <v>12.25</v>
      </c>
      <c r="P19" s="78"/>
      <c r="Q19" s="78"/>
      <c r="R19" s="1" t="s">
        <v>90</v>
      </c>
    </row>
    <row r="21" spans="3:61" ht="15" customHeight="1" thickBot="1">
      <c r="C21" s="17" t="s">
        <v>36</v>
      </c>
      <c r="D21" s="17" t="s">
        <v>5</v>
      </c>
      <c r="E21" s="1" t="str">
        <f>" "&amp;TEXT(Mx1,"0.00")&amp;" × "&amp;TEXT(α,"0.00")&amp;" × 100 / 19.5 / "&amp;TEXT(Jx,"0.000")</f>
        <v> 18.42 × 1.50 × 100 / 19.5 / 12.250</v>
      </c>
      <c r="AG21" s="28"/>
      <c r="AH21" s="28"/>
      <c r="AI21" s="98" t="s">
        <v>74</v>
      </c>
      <c r="AJ21" s="98"/>
      <c r="AK21" s="98"/>
      <c r="AL21" s="98"/>
      <c r="AM21" s="98"/>
      <c r="AN21" s="3"/>
      <c r="AO21" s="3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3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3:61" ht="15" customHeight="1" thickTop="1">
      <c r="C22" s="18"/>
      <c r="D22" s="17" t="s">
        <v>5</v>
      </c>
      <c r="E22" s="81">
        <f>ROUNDUP(Mx1*α*100/19.5/Jx,2)</f>
        <v>11.57</v>
      </c>
      <c r="F22" s="81"/>
      <c r="G22" s="81"/>
      <c r="H22" s="18" t="s">
        <v>99</v>
      </c>
      <c r="J22" s="17" t="s">
        <v>100</v>
      </c>
      <c r="K22" s="82" t="s">
        <v>113</v>
      </c>
      <c r="L22" s="82"/>
      <c r="M22" s="82"/>
      <c r="N22" s="84">
        <v>100</v>
      </c>
      <c r="O22" s="84"/>
      <c r="R22" s="86" t="s">
        <v>49</v>
      </c>
      <c r="S22" s="86"/>
      <c r="T22" s="20" t="s">
        <v>39</v>
      </c>
      <c r="U22" s="71">
        <f>E22/(VLOOKUP(K22,$AH$15:$AM$18,4,FALSE)*1000/N22)</f>
        <v>0.9110236220472442</v>
      </c>
      <c r="V22" s="71"/>
      <c r="W22" s="1" t="s">
        <v>40</v>
      </c>
      <c r="AG22" s="28"/>
      <c r="AH22" s="31"/>
      <c r="AI22" s="98"/>
      <c r="AJ22" s="98"/>
      <c r="AK22" s="98"/>
      <c r="AL22" s="98"/>
      <c r="AM22" s="98"/>
      <c r="AN22" s="100"/>
      <c r="AO22" s="100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0"/>
      <c r="BA22" s="32"/>
      <c r="BB22" s="32"/>
      <c r="BC22" s="32"/>
      <c r="BD22" s="32"/>
      <c r="BE22" s="32"/>
      <c r="BF22" s="32"/>
      <c r="BG22" s="32"/>
      <c r="BH22" s="33"/>
      <c r="BI22" s="28"/>
    </row>
    <row r="23" spans="4:61" ht="15" customHeight="1">
      <c r="D23" s="21"/>
      <c r="E23" s="17"/>
      <c r="F23" s="57"/>
      <c r="G23" s="57"/>
      <c r="AG23" s="28"/>
      <c r="AH23" s="34"/>
      <c r="AI23" s="102"/>
      <c r="AJ23" s="39"/>
      <c r="AK23" s="39"/>
      <c r="AL23" s="39"/>
      <c r="AM23" s="39"/>
      <c r="AN23" s="39"/>
      <c r="AO23" s="39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39"/>
      <c r="BA23" s="35"/>
      <c r="BB23" s="35"/>
      <c r="BC23" s="35"/>
      <c r="BD23" s="35"/>
      <c r="BE23" s="35"/>
      <c r="BF23" s="35"/>
      <c r="BG23" s="35"/>
      <c r="BH23" s="36"/>
      <c r="BI23" s="28"/>
    </row>
    <row r="24" spans="3:61" ht="15" customHeight="1">
      <c r="C24" s="19" t="s">
        <v>50</v>
      </c>
      <c r="AG24" s="28"/>
      <c r="AH24" s="34"/>
      <c r="AI24" s="103" t="s">
        <v>75</v>
      </c>
      <c r="AJ24" s="39"/>
      <c r="AK24" s="39"/>
      <c r="AL24" s="39"/>
      <c r="AM24" s="39"/>
      <c r="AN24" s="39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9"/>
      <c r="AZ24" s="35"/>
      <c r="BA24" s="35"/>
      <c r="BB24" s="35"/>
      <c r="BC24" s="35"/>
      <c r="BD24" s="35"/>
      <c r="BE24" s="35"/>
      <c r="BF24" s="35"/>
      <c r="BG24" s="35"/>
      <c r="BH24" s="36"/>
      <c r="BI24" s="28"/>
    </row>
    <row r="25" spans="3:61" ht="15" customHeight="1">
      <c r="C25" s="17" t="s">
        <v>101</v>
      </c>
      <c r="D25" s="17" t="s">
        <v>5</v>
      </c>
      <c r="E25" s="18" t="str">
        <f>" "&amp;TEXT(Q,"0.00")&amp;"×"&amp;TEXT(α,"0.00")&amp;" / ( 100 × "&amp;TEXT(Jx,"0.000")&amp;" )"</f>
        <v> 16.26×1.50 / ( 100 × 12.250 )</v>
      </c>
      <c r="AG25" s="28"/>
      <c r="AH25" s="34"/>
      <c r="AI25" s="39"/>
      <c r="AJ25" s="39"/>
      <c r="AK25" s="39"/>
      <c r="AL25" s="39"/>
      <c r="AM25" s="39"/>
      <c r="AN25" s="39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9"/>
      <c r="AZ25" s="35"/>
      <c r="BA25" s="35"/>
      <c r="BB25" s="35"/>
      <c r="BC25" s="35"/>
      <c r="BD25" s="35"/>
      <c r="BE25" s="35"/>
      <c r="BF25" s="35"/>
      <c r="BG25" s="35"/>
      <c r="BH25" s="36"/>
      <c r="BI25" s="28"/>
    </row>
    <row r="26" spans="4:61" ht="15" customHeight="1">
      <c r="D26" s="17" t="s">
        <v>5</v>
      </c>
      <c r="E26" s="78">
        <f>ROUNDUP(Q/100/Jx,3)</f>
        <v>0.013999999999999999</v>
      </c>
      <c r="F26" s="78"/>
      <c r="G26" s="78"/>
      <c r="H26" s="72" t="s">
        <v>54</v>
      </c>
      <c r="I26" s="72"/>
      <c r="J26" s="17" t="s">
        <v>55</v>
      </c>
      <c r="K26" s="71">
        <f>+O13/300</f>
        <v>0.07</v>
      </c>
      <c r="L26" s="71"/>
      <c r="M26" s="20" t="s">
        <v>39</v>
      </c>
      <c r="N26" s="71">
        <f>+E26/K26</f>
        <v>0.19999999999999996</v>
      </c>
      <c r="O26" s="71"/>
      <c r="P26" s="1" t="s">
        <v>40</v>
      </c>
      <c r="AG26" s="28"/>
      <c r="AH26" s="34"/>
      <c r="AI26" s="35"/>
      <c r="AJ26" s="37" t="s">
        <v>116</v>
      </c>
      <c r="AK26" s="104" t="s">
        <v>117</v>
      </c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35"/>
      <c r="AW26" s="39"/>
      <c r="AX26" s="35"/>
      <c r="AY26" s="38" t="s">
        <v>76</v>
      </c>
      <c r="AZ26" s="35"/>
      <c r="BA26" s="35"/>
      <c r="BB26" s="35"/>
      <c r="BC26" s="35"/>
      <c r="BD26" s="35"/>
      <c r="BE26" s="35"/>
      <c r="BF26" s="35"/>
      <c r="BG26" s="35"/>
      <c r="BH26" s="36"/>
      <c r="BI26" s="28"/>
    </row>
    <row r="27" spans="33:61" ht="15" customHeight="1">
      <c r="AG27" s="28"/>
      <c r="AH27" s="34"/>
      <c r="AI27" s="35"/>
      <c r="AJ27" s="35"/>
      <c r="AK27" s="35"/>
      <c r="AL27" s="35"/>
      <c r="AM27" s="35"/>
      <c r="AN27" s="35"/>
      <c r="AO27" s="39"/>
      <c r="AP27" s="39"/>
      <c r="AQ27" s="39"/>
      <c r="AR27" s="39"/>
      <c r="AS27" s="39"/>
      <c r="AT27" s="39"/>
      <c r="AU27" s="39"/>
      <c r="AV27" s="39"/>
      <c r="AW27" s="39"/>
      <c r="AX27" s="35"/>
      <c r="AY27" s="39"/>
      <c r="AZ27" s="35"/>
      <c r="BA27" s="35"/>
      <c r="BB27" s="35"/>
      <c r="BC27" s="35"/>
      <c r="BD27" s="35"/>
      <c r="BE27" s="35"/>
      <c r="BF27" s="35"/>
      <c r="BG27" s="35"/>
      <c r="BH27" s="36"/>
      <c r="BI27" s="28"/>
    </row>
    <row r="28" spans="33:61" ht="15" customHeight="1">
      <c r="AG28" s="28"/>
      <c r="AH28" s="34"/>
      <c r="AI28" s="35"/>
      <c r="AJ28" s="35"/>
      <c r="AK28" s="35"/>
      <c r="AL28" s="35"/>
      <c r="AM28" s="35"/>
      <c r="AN28" s="35"/>
      <c r="AO28" s="39"/>
      <c r="AP28" s="39"/>
      <c r="AQ28" s="39"/>
      <c r="AR28" s="39"/>
      <c r="AS28" s="39"/>
      <c r="AT28" s="39"/>
      <c r="AU28" s="39"/>
      <c r="AV28" s="39"/>
      <c r="AW28" s="39"/>
      <c r="AX28" s="35"/>
      <c r="AY28" s="39"/>
      <c r="AZ28" s="35"/>
      <c r="BA28" s="35"/>
      <c r="BB28" s="35"/>
      <c r="BC28" s="35"/>
      <c r="BD28" s="35"/>
      <c r="BE28" s="35"/>
      <c r="BF28" s="35"/>
      <c r="BG28" s="35"/>
      <c r="BH28" s="36"/>
      <c r="BI28" s="28"/>
    </row>
    <row r="29" spans="3:61" ht="15" customHeight="1">
      <c r="C29" s="18"/>
      <c r="G29" s="22"/>
      <c r="H29" s="17"/>
      <c r="I29" s="24"/>
      <c r="J29" s="23"/>
      <c r="K29" s="17"/>
      <c r="L29" s="24"/>
      <c r="M29" s="19"/>
      <c r="R29" s="17"/>
      <c r="S29" s="58"/>
      <c r="T29" s="58"/>
      <c r="U29" s="58"/>
      <c r="AG29" s="28"/>
      <c r="AH29" s="34"/>
      <c r="AI29" s="35"/>
      <c r="AJ29" s="37" t="s">
        <v>116</v>
      </c>
      <c r="AK29" s="68" t="s">
        <v>118</v>
      </c>
      <c r="AL29" s="68"/>
      <c r="AM29" s="68"/>
      <c r="AN29" s="68"/>
      <c r="AO29" s="68"/>
      <c r="AP29" s="68"/>
      <c r="AQ29" s="68"/>
      <c r="AR29" s="68"/>
      <c r="AS29" s="68"/>
      <c r="AT29" s="68"/>
      <c r="AU29" s="105"/>
      <c r="AV29" s="105"/>
      <c r="AW29" s="35"/>
      <c r="AX29" s="35"/>
      <c r="AY29" s="38" t="s">
        <v>119</v>
      </c>
      <c r="AZ29" s="35"/>
      <c r="BA29" s="35"/>
      <c r="BB29" s="35"/>
      <c r="BC29" s="35"/>
      <c r="BD29" s="35"/>
      <c r="BE29" s="35"/>
      <c r="BF29" s="35"/>
      <c r="BG29" s="35"/>
      <c r="BH29" s="36"/>
      <c r="BI29" s="28"/>
    </row>
    <row r="30" spans="2:61" ht="15" customHeight="1">
      <c r="B30" s="27"/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G30" s="28"/>
      <c r="AH30" s="34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6"/>
      <c r="BI30" s="28"/>
    </row>
    <row r="31" spans="2:61" ht="1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G31" s="28"/>
      <c r="AH31" s="34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6"/>
      <c r="BI31" s="28"/>
    </row>
    <row r="32" spans="2:61" ht="15" customHeight="1">
      <c r="B32" s="27"/>
      <c r="C32" s="3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G32" s="28"/>
      <c r="AH32" s="34"/>
      <c r="AI32" s="35"/>
      <c r="AJ32" s="37" t="s">
        <v>116</v>
      </c>
      <c r="AK32" s="91" t="s">
        <v>120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35"/>
      <c r="AX32" s="35"/>
      <c r="AY32" s="38" t="s">
        <v>114</v>
      </c>
      <c r="AZ32" s="35"/>
      <c r="BA32" s="35"/>
      <c r="BB32" s="35"/>
      <c r="BC32" s="35"/>
      <c r="BD32" s="35"/>
      <c r="BE32" s="35"/>
      <c r="BF32" s="35"/>
      <c r="BG32" s="35"/>
      <c r="BH32" s="36"/>
      <c r="BI32" s="28"/>
    </row>
    <row r="33" spans="2:61" ht="15" customHeight="1">
      <c r="B33" s="27"/>
      <c r="C33" s="27"/>
      <c r="D33" s="60"/>
      <c r="E33" s="60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60"/>
      <c r="Q33" s="61"/>
      <c r="R33" s="61"/>
      <c r="S33" s="30"/>
      <c r="T33" s="27"/>
      <c r="U33" s="60"/>
      <c r="V33" s="62"/>
      <c r="W33" s="62"/>
      <c r="X33" s="62"/>
      <c r="Y33" s="63"/>
      <c r="Z33" s="63"/>
      <c r="AA33" s="64"/>
      <c r="AB33" s="65"/>
      <c r="AC33" s="65"/>
      <c r="AD33" s="27"/>
      <c r="AG33" s="28"/>
      <c r="AH33" s="34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5"/>
      <c r="BG33" s="35"/>
      <c r="BH33" s="36"/>
      <c r="BI33" s="28"/>
    </row>
    <row r="34" spans="2:61" ht="15" customHeight="1">
      <c r="B34" s="27"/>
      <c r="C34" s="3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G34" s="28"/>
      <c r="AH34" s="34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6"/>
      <c r="BI34" s="28"/>
    </row>
    <row r="35" spans="2:61" ht="15" customHeight="1">
      <c r="B35" s="27"/>
      <c r="C35" s="27"/>
      <c r="D35" s="60"/>
      <c r="E35" s="60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60"/>
      <c r="Q35" s="61"/>
      <c r="R35" s="61"/>
      <c r="S35" s="30"/>
      <c r="T35" s="27"/>
      <c r="U35" s="60"/>
      <c r="V35" s="62"/>
      <c r="W35" s="62"/>
      <c r="X35" s="62"/>
      <c r="Y35" s="63"/>
      <c r="Z35" s="63"/>
      <c r="AA35" s="64"/>
      <c r="AB35" s="65"/>
      <c r="AC35" s="65"/>
      <c r="AD35" s="27"/>
      <c r="AG35" s="28"/>
      <c r="AH35" s="34"/>
      <c r="AI35" s="39"/>
      <c r="AJ35" s="37" t="s">
        <v>116</v>
      </c>
      <c r="AK35" s="89" t="s">
        <v>121</v>
      </c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40"/>
      <c r="AY35" s="38" t="s">
        <v>114</v>
      </c>
      <c r="AZ35" s="39"/>
      <c r="BA35" s="39"/>
      <c r="BB35" s="39"/>
      <c r="BC35" s="39"/>
      <c r="BD35" s="39"/>
      <c r="BE35" s="39"/>
      <c r="BF35" s="39"/>
      <c r="BG35" s="35"/>
      <c r="BH35" s="36"/>
      <c r="BI35" s="28"/>
    </row>
    <row r="36" spans="2:61" ht="15" customHeight="1">
      <c r="B36" s="27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G36" s="28"/>
      <c r="AH36" s="34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35"/>
      <c r="BH36" s="36"/>
      <c r="BI36" s="28"/>
    </row>
    <row r="37" spans="2:61" ht="15" customHeight="1">
      <c r="B37" s="27"/>
      <c r="C37" s="27"/>
      <c r="D37" s="60"/>
      <c r="E37" s="6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60"/>
      <c r="Q37" s="61"/>
      <c r="R37" s="61"/>
      <c r="S37" s="30"/>
      <c r="T37" s="27"/>
      <c r="U37" s="60"/>
      <c r="V37" s="62"/>
      <c r="W37" s="62"/>
      <c r="X37" s="62"/>
      <c r="Y37" s="63"/>
      <c r="Z37" s="63"/>
      <c r="AA37" s="64"/>
      <c r="AB37" s="65"/>
      <c r="AC37" s="65"/>
      <c r="AD37" s="27"/>
      <c r="AG37" s="28"/>
      <c r="AH37" s="34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35"/>
      <c r="BH37" s="36"/>
      <c r="BI37" s="28"/>
    </row>
    <row r="38" spans="2:61" ht="1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G38" s="28"/>
      <c r="AH38" s="34"/>
      <c r="AI38" s="39"/>
      <c r="AJ38" s="37" t="s">
        <v>116</v>
      </c>
      <c r="AK38" s="89" t="s">
        <v>122</v>
      </c>
      <c r="AL38" s="89"/>
      <c r="AM38" s="89"/>
      <c r="AN38" s="89"/>
      <c r="AO38" s="89"/>
      <c r="AP38" s="89"/>
      <c r="AQ38" s="89"/>
      <c r="AR38" s="89"/>
      <c r="AS38" s="89"/>
      <c r="AT38" s="89"/>
      <c r="AU38" s="40"/>
      <c r="AV38" s="40"/>
      <c r="AW38" s="40"/>
      <c r="AX38" s="40"/>
      <c r="AY38" s="38" t="s">
        <v>115</v>
      </c>
      <c r="AZ38" s="39"/>
      <c r="BA38" s="39"/>
      <c r="BB38" s="39"/>
      <c r="BC38" s="39"/>
      <c r="BD38" s="39"/>
      <c r="BE38" s="39"/>
      <c r="BF38" s="39"/>
      <c r="BG38" s="35"/>
      <c r="BH38" s="36"/>
      <c r="BI38" s="28"/>
    </row>
    <row r="39" spans="33:61" ht="15" customHeight="1">
      <c r="AG39" s="28"/>
      <c r="AH39" s="34"/>
      <c r="AI39" s="35"/>
      <c r="AJ39" s="35"/>
      <c r="AK39" s="35"/>
      <c r="AL39" s="39"/>
      <c r="AM39" s="39"/>
      <c r="AN39" s="39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39"/>
      <c r="BA39" s="39"/>
      <c r="BB39" s="39"/>
      <c r="BC39" s="39"/>
      <c r="BD39" s="39"/>
      <c r="BE39" s="39"/>
      <c r="BF39" s="39"/>
      <c r="BG39" s="39"/>
      <c r="BH39" s="36"/>
      <c r="BI39" s="28"/>
    </row>
    <row r="40" spans="33:61" ht="15" customHeight="1" thickBot="1">
      <c r="AG40" s="28"/>
      <c r="AH40" s="41"/>
      <c r="AI40" s="42"/>
      <c r="AJ40" s="43"/>
      <c r="AK40" s="43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5"/>
      <c r="BI40" s="28"/>
    </row>
    <row r="41" spans="7:62" ht="15" customHeight="1" thickTop="1"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G41" s="35"/>
      <c r="AH41" s="35"/>
      <c r="AI41" s="3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35"/>
      <c r="BI41" s="35"/>
      <c r="BJ41" s="48"/>
    </row>
    <row r="42" spans="7:62" ht="15" customHeight="1"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2:27" ht="15" customHeight="1">
      <c r="B43" s="1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4:61" ht="15" customHeight="1">
      <c r="D44" s="17"/>
      <c r="E44" s="1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60"/>
      <c r="R44" s="65"/>
      <c r="S44" s="65"/>
      <c r="T44" s="27"/>
      <c r="U44" s="27"/>
      <c r="V44" s="27"/>
      <c r="W44" s="27"/>
      <c r="X44" s="27"/>
      <c r="Y44" s="27"/>
      <c r="Z44" s="27"/>
      <c r="AA44" s="27"/>
      <c r="AG44" s="28"/>
      <c r="AH44" s="28"/>
      <c r="AI44" s="46"/>
      <c r="AJ44" s="47"/>
      <c r="AK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</row>
    <row r="45" spans="4:27" ht="15" customHeight="1">
      <c r="D45" s="17"/>
      <c r="E45" s="1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60"/>
      <c r="R45" s="65"/>
      <c r="S45" s="65"/>
      <c r="T45" s="27"/>
      <c r="U45" s="27"/>
      <c r="V45" s="27"/>
      <c r="W45" s="27"/>
      <c r="X45" s="27"/>
      <c r="Y45" s="27"/>
      <c r="Z45" s="27"/>
      <c r="AA45" s="27"/>
    </row>
    <row r="46" spans="7:27" ht="15" customHeight="1"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4:27" ht="15" customHeight="1">
      <c r="D47" s="1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4:27" ht="15" customHeight="1">
      <c r="D48" s="17"/>
      <c r="E48" s="86"/>
      <c r="F48" s="86"/>
      <c r="G48" s="27"/>
      <c r="H48" s="60"/>
      <c r="I48" s="66"/>
      <c r="J48" s="66"/>
      <c r="K48" s="27"/>
      <c r="L48" s="27"/>
      <c r="M48" s="67"/>
      <c r="N48" s="6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7:27" ht="15" customHeight="1"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7:27" ht="15" customHeight="1"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7:27" ht="15" customHeight="1"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</sheetData>
  <sheetProtection sheet="1" objects="1" scenarios="1"/>
  <mergeCells count="40">
    <mergeCell ref="O9:P9"/>
    <mergeCell ref="O5:Q5"/>
    <mergeCell ref="D8:H8"/>
    <mergeCell ref="O6:Q6"/>
    <mergeCell ref="O3:Q3"/>
    <mergeCell ref="O8:P8"/>
    <mergeCell ref="H3:I3"/>
    <mergeCell ref="E4:G5"/>
    <mergeCell ref="O19:Q19"/>
    <mergeCell ref="O13:P13"/>
    <mergeCell ref="Q13:R13"/>
    <mergeCell ref="T15:V15"/>
    <mergeCell ref="Q11:R11"/>
    <mergeCell ref="K22:M22"/>
    <mergeCell ref="R22:S22"/>
    <mergeCell ref="T16:V16"/>
    <mergeCell ref="E22:G22"/>
    <mergeCell ref="AK15:AM15"/>
    <mergeCell ref="AK16:AM16"/>
    <mergeCell ref="AK17:AM17"/>
    <mergeCell ref="N22:O22"/>
    <mergeCell ref="U22:V22"/>
    <mergeCell ref="AH15:AJ15"/>
    <mergeCell ref="AH16:AJ16"/>
    <mergeCell ref="AH17:AJ17"/>
    <mergeCell ref="AH18:AJ18"/>
    <mergeCell ref="E26:G26"/>
    <mergeCell ref="K26:L26"/>
    <mergeCell ref="H26:I26"/>
    <mergeCell ref="N26:O26"/>
    <mergeCell ref="E48:F48"/>
    <mergeCell ref="AK35:AW35"/>
    <mergeCell ref="AK38:AT38"/>
    <mergeCell ref="AK32:AV32"/>
    <mergeCell ref="AG5:AH5"/>
    <mergeCell ref="AI21:AM22"/>
    <mergeCell ref="AK26:AU26"/>
    <mergeCell ref="AK18:AM18"/>
    <mergeCell ref="AH14:AJ14"/>
    <mergeCell ref="AK14:AM14"/>
  </mergeCells>
  <conditionalFormatting sqref="N26:O26 U22:V22 AB33:AC33 AB35:AC35 AB37:AC37">
    <cfRule type="cellIs" priority="1" dxfId="4" operator="greaterThan" stopIfTrue="1">
      <formula>1</formula>
    </cfRule>
  </conditionalFormatting>
  <conditionalFormatting sqref="M48:N48">
    <cfRule type="expression" priority="2" dxfId="4" stopIfTrue="1">
      <formula>$E$48&gt;$I$48</formula>
    </cfRule>
  </conditionalFormatting>
  <dataValidations count="1">
    <dataValidation type="list" allowBlank="1" showInputMessage="1" showErrorMessage="1" sqref="K22:M22 V37:X37 V35:X35 V33:X33">
      <formula1>"D10＠,D10 D13＠,D13＠,D16＠"</formula1>
    </dataValidation>
  </dataValidations>
  <hyperlinks>
    <hyperlink ref="AK26" r:id="rId1" display="構造設計講座（擁壁編）ＰＤＦ版"/>
    <hyperlink ref="AK29:AQ29" r:id="rId2" display="地盤許容応力度の計算（EXCELシート）"/>
    <hyperlink ref="AK32:AV32" r:id="rId3" display="コンクリートブロック土留めの設計 "/>
    <hyperlink ref="AK35:AW35" r:id="rId4" display="擁壁下のラップ形式柱状地盤改良設計 "/>
    <hyperlink ref="AK38:AT38" r:id="rId5" display="ラップ式柱状改良の断面性能 "/>
    <hyperlink ref="AK26:AU26" r:id="rId6" display="構造設計講座（ＲＣマンション編）"/>
    <hyperlink ref="AK29" r:id="rId7" display="地盤許容応力度の計算（EXCELシート）"/>
  </hyperlinks>
  <printOptions/>
  <pageMargins left="0.75" right="0.75" top="1" bottom="1" header="0.512" footer="0.512"/>
  <pageSetup horizontalDpi="300" verticalDpi="3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shimada-str.eng</cp:lastModifiedBy>
  <dcterms:created xsi:type="dcterms:W3CDTF">1997-01-08T22:48:59Z</dcterms:created>
  <dcterms:modified xsi:type="dcterms:W3CDTF">2019-04-13T08:10:17Z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